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24226"/>
  <xr:revisionPtr revIDLastSave="0" documentId="13_ncr:1_{29F167D4-AB31-4D90-93FC-CA24572CF5CB}" xr6:coauthVersionLast="47" xr6:coauthVersionMax="47" xr10:uidLastSave="{00000000-0000-0000-0000-000000000000}"/>
  <bookViews>
    <workbookView xWindow="-120" yWindow="-120" windowWidth="20730" windowHeight="11160" tabRatio="873" xr2:uid="{00000000-000D-0000-FFFF-FFFF00000000}"/>
  </bookViews>
  <sheets>
    <sheet name="Orçamento" sheetId="42" r:id="rId1"/>
    <sheet name="CRONOGRAMA" sheetId="8" r:id="rId2"/>
    <sheet name="COMPOSIÇÕES" sheetId="41" r:id="rId3"/>
    <sheet name="COMP_BDI_EDIFICACOES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d">#N/A</definedName>
    <definedName name="\f">#N/A</definedName>
    <definedName name="\p">#N/A</definedName>
    <definedName name="__123Graph_A" localSheetId="2" hidden="1">#REF!</definedName>
    <definedName name="__123Graph_A" hidden="1">#REF!</definedName>
    <definedName name="__123Graph_B" localSheetId="2" hidden="1">#REF!</definedName>
    <definedName name="__123Graph_B" hidden="1">#REF!</definedName>
    <definedName name="__123Graph_C" localSheetId="2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localSheetId="2" hidden="1">#REF!</definedName>
    <definedName name="__123Graph_X" hidden="1">#REF!</definedName>
    <definedName name="_BSADJ" localSheetId="2">#REF!</definedName>
    <definedName name="_BSADJ">#REF!</definedName>
    <definedName name="_BSTGT" localSheetId="2">#REF!</definedName>
    <definedName name="_BSTGT">#REF!</definedName>
    <definedName name="_xlnm._FilterDatabase" localSheetId="0" hidden="1">Orçamento!$A$9:$I$90</definedName>
    <definedName name="_IND1" localSheetId="2">#REF!</definedName>
    <definedName name="_IND1">#REF!</definedName>
    <definedName name="_IND2" localSheetId="2">#REF!</definedName>
    <definedName name="_IND2">#REF!</definedName>
    <definedName name="_MM" localSheetId="2" hidden="1">#REF!</definedName>
    <definedName name="_MM" hidden="1">#REF!</definedName>
    <definedName name="a" localSheetId="2">#REF!</definedName>
    <definedName name="a">#REF!</definedName>
    <definedName name="acha.coluna" localSheetId="2">#REF!</definedName>
    <definedName name="acha.coluna">#REF!</definedName>
    <definedName name="acha.dados" localSheetId="2">#REF!</definedName>
    <definedName name="acha.dados">#REF!</definedName>
    <definedName name="acha.dados2" localSheetId="2">#REF!</definedName>
    <definedName name="acha.dados2">#REF!</definedName>
    <definedName name="acha.linha" localSheetId="2">#REF!</definedName>
    <definedName name="acha.linha">#REF!</definedName>
    <definedName name="acha.linha2" localSheetId="2">#REF!</definedName>
    <definedName name="acha.linha2">#REF!</definedName>
    <definedName name="_xlnm.Print_Area" localSheetId="3">COMP_BDI_EDIFICACOES!$B$2:$D$44</definedName>
    <definedName name="_xlnm.Print_Area" localSheetId="2">COMPOSIÇÕES!$A$1:$I$123</definedName>
    <definedName name="_xlnm.Print_Area" localSheetId="1">CRONOGRAMA!$A$1:$I$58</definedName>
    <definedName name="_xlnm.Print_Area" localSheetId="0">Orçamento!$A$1:$I$90</definedName>
    <definedName name="Área_impressão_IM" localSheetId="2">#REF!</definedName>
    <definedName name="Área_impressão_IM">#REF!</definedName>
    <definedName name="Área_impressão_IM2" localSheetId="2">#REF!</definedName>
    <definedName name="Área_impressão_IM2">#REF!</definedName>
    <definedName name="AreaTeste" localSheetId="2">#REF!</definedName>
    <definedName name="AreaTeste">#REF!</definedName>
    <definedName name="AreaTeste2" localSheetId="2">#REF!</definedName>
    <definedName name="AreaTeste2">#REF!</definedName>
    <definedName name="ATUALIZANDO">#REF!</definedName>
    <definedName name="_xlnm.Database" localSheetId="2">#REF!</definedName>
    <definedName name="_xlnm.Database">#REF!</definedName>
    <definedName name="bdi" localSheetId="2">#REF!</definedName>
    <definedName name="bdi">#REF!</definedName>
    <definedName name="BDI_EDIF_com_Desoneracao">COMP_BDI_EDIFICACOES!$D$28</definedName>
    <definedName name="BDI_EDIF_sem_Desoneracao">#REF!</definedName>
    <definedName name="BDIlds">'[2]LIGAÇÕES DOMICILIARES (SER)'!$K$13</definedName>
    <definedName name="BDIm" localSheetId="2">#REF!</definedName>
    <definedName name="BDIm">#REF!</definedName>
    <definedName name="BDIs">[3]Serv!$I$11</definedName>
    <definedName name="cb" localSheetId="2">#REF!</definedName>
    <definedName name="cb">#REF!</definedName>
    <definedName name="ccc" localSheetId="2">#REF!</definedName>
    <definedName name="ccc">#REF!</definedName>
    <definedName name="CélulaInicioPlanilha" localSheetId="2">#REF!</definedName>
    <definedName name="CélulaInicioPlanilha">#REF!</definedName>
    <definedName name="CélulaResumo" localSheetId="2">#REF!</definedName>
    <definedName name="CélulaResumo">#REF!</definedName>
    <definedName name="cer" localSheetId="2">#REF!</definedName>
    <definedName name="cer">#REF!</definedName>
    <definedName name="_xlnm.Criteria" localSheetId="2">#REF!</definedName>
    <definedName name="_xlnm.Criteria">#REF!</definedName>
    <definedName name="CRITERIOS2" localSheetId="2">#REF!</definedName>
    <definedName name="CRITERIOS2">#REF!</definedName>
    <definedName name="dssds" localSheetId="2">#REF!</definedName>
    <definedName name="dssds">#REF!</definedName>
    <definedName name="EMPRESAS">OFFSET([4]COTAÇÕES!$C$26,1,0):OFFSET([4]COTAÇÕES!$I$42,-1,0)</definedName>
    <definedName name="Exist" localSheetId="2">#REF!</definedName>
    <definedName name="Exist">#REF!</definedName>
    <definedName name="F" localSheetId="2" hidden="1">#REF!</definedName>
    <definedName name="F" hidden="1">#REF!</definedName>
    <definedName name="fdfd" localSheetId="2">#REF!</definedName>
    <definedName name="fdfd">#REF!</definedName>
    <definedName name="g" localSheetId="2" hidden="1">#REF!</definedName>
    <definedName name="g" hidden="1">#REF!</definedName>
    <definedName name="h" localSheetId="2" hidden="1">#REF!</definedName>
    <definedName name="h" hidden="1">#REF!</definedName>
    <definedName name="I" localSheetId="2" hidden="1">[5]Poço!#REF!</definedName>
    <definedName name="I" hidden="1">[5]Poço!#REF!</definedName>
    <definedName name="INCC">[3]Mat!$J$9</definedName>
    <definedName name="INCC1">[3]Serv!$I$10</definedName>
    <definedName name="INDICES">OFFSET([4]COTAÇÕES!$C$21,1,0):OFFSET([4]COTAÇÕES!$J$25,-1,0)</definedName>
    <definedName name="j" localSheetId="2">#REF!</definedName>
    <definedName name="j">#REF!</definedName>
    <definedName name="jfhdskjg" localSheetId="2">#REF!</definedName>
    <definedName name="jfhdskjg">#REF!</definedName>
    <definedName name="K" localSheetId="2">#REF!</definedName>
    <definedName name="K">#REF!</definedName>
    <definedName name="kapa">[6]resumo!$D$2</definedName>
    <definedName name="KAPA1" localSheetId="2">#REF!</definedName>
    <definedName name="KAPA1">#REF!</definedName>
    <definedName name="KAPAs">[3]Serv!$E$9</definedName>
    <definedName name="Ks">'[7]SERVIÇOS '!$G$10</definedName>
    <definedName name="lista" localSheetId="2">#REF!</definedName>
    <definedName name="lista">#REF!</definedName>
    <definedName name="lista.coluna" localSheetId="2">#REF!</definedName>
    <definedName name="lista.coluna">#REF!</definedName>
    <definedName name="lista.linha" localSheetId="2">#REF!</definedName>
    <definedName name="lista.linha">#REF!</definedName>
    <definedName name="Macro1">#N/A</definedName>
    <definedName name="MATBDI" localSheetId="2">#REF!</definedName>
    <definedName name="MATBDI">#REF!</definedName>
    <definedName name="nil" localSheetId="2">#REF!</definedName>
    <definedName name="nil">#REF!</definedName>
    <definedName name="nilo" localSheetId="2">#REF!</definedName>
    <definedName name="nilo">#REF!</definedName>
    <definedName name="ok">#REF!</definedName>
    <definedName name="orçamento" localSheetId="2">#REF!</definedName>
    <definedName name="orçamento">#REF!</definedName>
    <definedName name="POP" localSheetId="2">#REF!</definedName>
    <definedName name="POP">#REF!</definedName>
    <definedName name="Print_Area_MI" localSheetId="2">#REF!</definedName>
    <definedName name="Print_Area_MI">#REF!</definedName>
    <definedName name="PRINT2" localSheetId="2">#REF!</definedName>
    <definedName name="PRINT2">#REF!</definedName>
    <definedName name="QTD">[8]Serviços!$E$7</definedName>
    <definedName name="Recalque" localSheetId="2">#REF!</definedName>
    <definedName name="Recalque">#REF!</definedName>
    <definedName name="Referencia.Descricao">IF(ISNUMBER([9]PO!linhaSINAPIxls),INDEX(INDIRECT("'[Referência "&amp;_xlnm.Database&amp;".xls]Banco'!$b:$g"),[9]PO!linhaSINAPIxls,3),"")</definedName>
    <definedName name="Referencia.Unidade">IF(ISNUMBER([9]PO!linhaSINAPIxls),INDEX(INDIRECT("'[Referência "&amp;_xlnm.Database&amp;".xls]Banco'!$b:$g"),[9]PO!linhaSINAPIxls,4),"")</definedName>
    <definedName name="s" localSheetId="2">#REF!</definedName>
    <definedName name="s">#REF!</definedName>
    <definedName name="sadsdf" localSheetId="2">#REF!</definedName>
    <definedName name="sadsdf">#REF!</definedName>
    <definedName name="sddddddddddd" localSheetId="2">#REF!</definedName>
    <definedName name="sddddddddddd">#REF!</definedName>
    <definedName name="TABELA" localSheetId="2">'[10]PLANILHA FONTE'!$B$1:$G$290</definedName>
    <definedName name="TABELA">'[11]PLANILHA FONTE'!$B$1:$G$290</definedName>
    <definedName name="TipoOrçamento">"BASE"</definedName>
    <definedName name="_xlnm.Print_Titles" localSheetId="2">COMPOSIÇÕES!$2:$6</definedName>
    <definedName name="_xlnm.Print_Titles" localSheetId="1">CRONOGRAMA!$1:$9</definedName>
    <definedName name="_xlnm.Print_Titles" localSheetId="0">Orçamento!$1:$9</definedName>
    <definedName name="truncar" localSheetId="2">[3]Serv!#REF!</definedName>
    <definedName name="truncar">[3]Serv!#REF!</definedName>
    <definedName name="vhvb" localSheetId="2">#REF!</definedName>
    <definedName name="vhvb">#REF!</definedName>
    <definedName name="vvvvvvvvvvvvvv" localSheetId="2">#REF!</definedName>
    <definedName name="vvvvvvvvvvvvvv">#REF!</definedName>
  </definedNames>
  <calcPr calcId="191029"/>
</workbook>
</file>

<file path=xl/calcChain.xml><?xml version="1.0" encoding="utf-8"?>
<calcChain xmlns="http://schemas.openxmlformats.org/spreadsheetml/2006/main">
  <c r="G28" i="8" l="1"/>
  <c r="G25" i="8"/>
  <c r="F19" i="8"/>
  <c r="E16" i="8"/>
  <c r="H46" i="8"/>
  <c r="H43" i="8"/>
  <c r="H34" i="8"/>
  <c r="I34" i="8"/>
  <c r="F28" i="8"/>
  <c r="E28" i="8"/>
  <c r="K14" i="8"/>
  <c r="H13" i="8"/>
  <c r="G13" i="8"/>
  <c r="F13" i="8"/>
  <c r="E13" i="8"/>
  <c r="I13" i="8"/>
  <c r="L60" i="8"/>
  <c r="F40" i="8"/>
  <c r="F43" i="8"/>
  <c r="E19" i="8"/>
  <c r="C46" i="8"/>
  <c r="B46" i="8"/>
  <c r="C43" i="8"/>
  <c r="B43" i="8"/>
  <c r="C40" i="8"/>
  <c r="I40" i="8" s="1"/>
  <c r="B40" i="8"/>
  <c r="C37" i="8"/>
  <c r="B37" i="8"/>
  <c r="C34" i="8"/>
  <c r="B34" i="8"/>
  <c r="C31" i="8"/>
  <c r="B31" i="8"/>
  <c r="C28" i="8"/>
  <c r="B28" i="8"/>
  <c r="C25" i="8"/>
  <c r="B25" i="8"/>
  <c r="C22" i="8"/>
  <c r="F22" i="8" s="1"/>
  <c r="B22" i="8"/>
  <c r="C19" i="8"/>
  <c r="B19" i="8"/>
  <c r="C16" i="8"/>
  <c r="B16" i="8"/>
  <c r="C13" i="8"/>
  <c r="B13" i="8"/>
  <c r="C10" i="8"/>
  <c r="B10" i="8"/>
  <c r="H11" i="42"/>
  <c r="I11" i="42" s="1"/>
  <c r="H12" i="42"/>
  <c r="I12" i="42" s="1"/>
  <c r="H13" i="42"/>
  <c r="I13" i="42" s="1"/>
  <c r="H14" i="42"/>
  <c r="I14" i="42"/>
  <c r="G16" i="42"/>
  <c r="H16" i="42"/>
  <c r="I16" i="42" s="1"/>
  <c r="H18" i="42"/>
  <c r="I18" i="42" s="1"/>
  <c r="H19" i="42"/>
  <c r="I19" i="42" s="1"/>
  <c r="H20" i="42"/>
  <c r="I20" i="42" s="1"/>
  <c r="H22" i="42"/>
  <c r="I22" i="42" s="1"/>
  <c r="H23" i="42"/>
  <c r="I23" i="42" s="1"/>
  <c r="G24" i="42"/>
  <c r="H24" i="42" s="1"/>
  <c r="I24" i="42" s="1"/>
  <c r="H26" i="42"/>
  <c r="I26" i="42" s="1"/>
  <c r="H28" i="42"/>
  <c r="I28" i="42" s="1"/>
  <c r="H29" i="42"/>
  <c r="I29" i="42" s="1"/>
  <c r="H30" i="42"/>
  <c r="I30" i="42" s="1"/>
  <c r="H32" i="42"/>
  <c r="I32" i="42" s="1"/>
  <c r="H33" i="42"/>
  <c r="I33" i="42" s="1"/>
  <c r="H34" i="42"/>
  <c r="I34" i="42"/>
  <c r="H35" i="42"/>
  <c r="I35" i="42"/>
  <c r="H36" i="42"/>
  <c r="I36" i="42"/>
  <c r="H37" i="42"/>
  <c r="I37" i="42" s="1"/>
  <c r="H38" i="42"/>
  <c r="I38" i="42"/>
  <c r="G39" i="42"/>
  <c r="H39" i="42"/>
  <c r="I39" i="42" s="1"/>
  <c r="H41" i="42"/>
  <c r="I41" i="42" s="1"/>
  <c r="H42" i="42"/>
  <c r="I42" i="42"/>
  <c r="H43" i="42"/>
  <c r="I43" i="42" s="1"/>
  <c r="H44" i="42"/>
  <c r="I44" i="42" s="1"/>
  <c r="H46" i="42"/>
  <c r="I46" i="42" s="1"/>
  <c r="H47" i="42"/>
  <c r="I47" i="42" s="1"/>
  <c r="H48" i="42"/>
  <c r="I48" i="42" s="1"/>
  <c r="H49" i="42"/>
  <c r="I49" i="42" s="1"/>
  <c r="H50" i="42"/>
  <c r="I50" i="42" s="1"/>
  <c r="H51" i="42"/>
  <c r="I51" i="42" s="1"/>
  <c r="H52" i="42"/>
  <c r="I52" i="42" s="1"/>
  <c r="H54" i="42"/>
  <c r="I54" i="42" s="1"/>
  <c r="H55" i="42"/>
  <c r="I55" i="42" s="1"/>
  <c r="H56" i="42"/>
  <c r="I56" i="42" s="1"/>
  <c r="H58" i="42"/>
  <c r="I58" i="42" s="1"/>
  <c r="H59" i="42"/>
  <c r="I59" i="42" s="1"/>
  <c r="H60" i="42"/>
  <c r="I60" i="42" s="1"/>
  <c r="H61" i="42"/>
  <c r="I61" i="42" s="1"/>
  <c r="G62" i="42"/>
  <c r="H62" i="42" s="1"/>
  <c r="I62" i="42" s="1"/>
  <c r="H63" i="42"/>
  <c r="I63" i="42" s="1"/>
  <c r="H64" i="42"/>
  <c r="I64" i="42" s="1"/>
  <c r="H65" i="42"/>
  <c r="I65" i="42" s="1"/>
  <c r="H66" i="42"/>
  <c r="I66" i="42" s="1"/>
  <c r="H67" i="42"/>
  <c r="I67" i="42"/>
  <c r="H68" i="42"/>
  <c r="I68" i="42" s="1"/>
  <c r="H69" i="42"/>
  <c r="I69" i="42" s="1"/>
  <c r="G70" i="42"/>
  <c r="H70" i="42"/>
  <c r="I70" i="42" s="1"/>
  <c r="H71" i="42"/>
  <c r="I71" i="42" s="1"/>
  <c r="H72" i="42"/>
  <c r="I72" i="42"/>
  <c r="G73" i="42"/>
  <c r="H73" i="42" s="1"/>
  <c r="I73" i="42" s="1"/>
  <c r="H74" i="42"/>
  <c r="I74" i="42" s="1"/>
  <c r="H75" i="42"/>
  <c r="I75" i="42" s="1"/>
  <c r="H76" i="42"/>
  <c r="I76" i="42" s="1"/>
  <c r="H77" i="42"/>
  <c r="I77" i="42"/>
  <c r="H79" i="42"/>
  <c r="I79" i="42"/>
  <c r="H80" i="42"/>
  <c r="I80" i="42" s="1"/>
  <c r="H81" i="42"/>
  <c r="I81" i="42"/>
  <c r="H82" i="42"/>
  <c r="I82" i="42" s="1"/>
  <c r="H83" i="42"/>
  <c r="I83" i="42" s="1"/>
  <c r="H85" i="42"/>
  <c r="I85" i="42" s="1"/>
  <c r="H86" i="42"/>
  <c r="I86" i="42" s="1"/>
  <c r="H87" i="42"/>
  <c r="I87" i="42" s="1"/>
  <c r="H88" i="42"/>
  <c r="I88" i="42" s="1"/>
  <c r="AE94" i="42"/>
  <c r="E19" i="41"/>
  <c r="E18" i="41"/>
  <c r="G75" i="41"/>
  <c r="G76" i="41"/>
  <c r="G77" i="41"/>
  <c r="G78" i="41"/>
  <c r="G79" i="41"/>
  <c r="H52" i="8" l="1"/>
  <c r="F52" i="8"/>
  <c r="F53" i="8" s="1"/>
  <c r="E22" i="8"/>
  <c r="E52" i="8" s="1"/>
  <c r="C49" i="8"/>
  <c r="G40" i="8"/>
  <c r="K40" i="8" s="1"/>
  <c r="K43" i="8"/>
  <c r="I25" i="42"/>
  <c r="I15" i="42"/>
  <c r="G52" i="8" l="1"/>
  <c r="G53" i="8" s="1"/>
  <c r="E53" i="8"/>
  <c r="I84" i="42"/>
  <c r="I45" i="42"/>
  <c r="I10" i="42"/>
  <c r="I21" i="42"/>
  <c r="I31" i="42"/>
  <c r="I27" i="42"/>
  <c r="I78" i="42"/>
  <c r="I17" i="42"/>
  <c r="I40" i="42"/>
  <c r="I57" i="42" l="1"/>
  <c r="I53" i="42" l="1"/>
  <c r="I90" i="42" s="1"/>
  <c r="I95" i="42" s="1"/>
  <c r="G111" i="41"/>
  <c r="I115" i="41"/>
  <c r="G115" i="41"/>
  <c r="I114" i="41"/>
  <c r="G114" i="41"/>
  <c r="I113" i="41"/>
  <c r="G113" i="41"/>
  <c r="I112" i="41"/>
  <c r="G112" i="41"/>
  <c r="I111" i="41"/>
  <c r="I97" i="42" l="1"/>
  <c r="I93" i="42"/>
  <c r="K93" i="42"/>
  <c r="A6" i="41" l="1"/>
  <c r="A5" i="41"/>
  <c r="A4" i="41"/>
  <c r="G19" i="41"/>
  <c r="G18" i="41"/>
  <c r="J20" i="41"/>
  <c r="I33" i="41"/>
  <c r="G33" i="41"/>
  <c r="I32" i="41"/>
  <c r="G32" i="41"/>
  <c r="I46" i="8" l="1"/>
  <c r="I121" i="41"/>
  <c r="G121" i="41"/>
  <c r="I120" i="41"/>
  <c r="G120" i="41"/>
  <c r="I119" i="41"/>
  <c r="G119" i="41"/>
  <c r="I118" i="41"/>
  <c r="G118" i="41"/>
  <c r="I117" i="41"/>
  <c r="G117" i="41"/>
  <c r="I116" i="41"/>
  <c r="G116" i="41"/>
  <c r="G110" i="41"/>
  <c r="I109" i="41"/>
  <c r="G109" i="41"/>
  <c r="I108" i="41"/>
  <c r="G108" i="41"/>
  <c r="I96" i="41"/>
  <c r="G96" i="41"/>
  <c r="I95" i="41"/>
  <c r="G95" i="41"/>
  <c r="I94" i="41"/>
  <c r="G94" i="41"/>
  <c r="I93" i="41"/>
  <c r="G93" i="41"/>
  <c r="I92" i="41"/>
  <c r="G92" i="41"/>
  <c r="I91" i="41"/>
  <c r="G91" i="41"/>
  <c r="K46" i="8" l="1"/>
  <c r="I52" i="8"/>
  <c r="G97" i="41"/>
  <c r="G122" i="41"/>
  <c r="I110" i="41"/>
  <c r="I122" i="41" s="1"/>
  <c r="I97" i="41"/>
  <c r="H87" i="41" l="1"/>
  <c r="H104" i="41"/>
  <c r="F87" i="41"/>
  <c r="F104" i="41"/>
  <c r="I77" i="41" l="1"/>
  <c r="G63" i="41"/>
  <c r="I76" i="41"/>
  <c r="I78" i="41"/>
  <c r="I79" i="41"/>
  <c r="I63" i="41"/>
  <c r="I62" i="41"/>
  <c r="G62" i="41"/>
  <c r="I61" i="41"/>
  <c r="G61" i="41"/>
  <c r="I75" i="41"/>
  <c r="I64" i="41" l="1"/>
  <c r="G64" i="41"/>
  <c r="I34" i="41"/>
  <c r="G34" i="41"/>
  <c r="I19" i="41"/>
  <c r="I18" i="41"/>
  <c r="H57" i="41" l="1"/>
  <c r="F57" i="41"/>
  <c r="H28" i="41"/>
  <c r="F28" i="41"/>
  <c r="G20" i="41"/>
  <c r="I20" i="41"/>
  <c r="H14" i="41" l="1"/>
  <c r="F14" i="41"/>
  <c r="I80" i="41" l="1"/>
  <c r="G80" i="41"/>
  <c r="F71" i="41" l="1"/>
  <c r="H71" i="41"/>
  <c r="L564" i="41" l="1"/>
  <c r="I49" i="41"/>
  <c r="G49" i="41"/>
  <c r="I48" i="41"/>
  <c r="G48" i="41"/>
  <c r="I47" i="41"/>
  <c r="G47" i="41"/>
  <c r="I46" i="41"/>
  <c r="G46" i="41"/>
  <c r="I50" i="41" l="1"/>
  <c r="G50" i="41"/>
  <c r="B8" i="22"/>
  <c r="B7" i="22"/>
  <c r="B6" i="22"/>
  <c r="H42" i="41" l="1"/>
  <c r="F42" i="41"/>
  <c r="I37" i="8" l="1"/>
  <c r="K37" i="8" s="1"/>
  <c r="H31" i="8" l="1"/>
  <c r="C41" i="8" l="1"/>
  <c r="K58" i="8" l="1"/>
  <c r="E60" i="8" s="1"/>
  <c r="C44" i="8"/>
  <c r="G60" i="8" l="1"/>
  <c r="F60" i="8"/>
  <c r="E21" i="22" l="1"/>
  <c r="D24" i="22"/>
  <c r="D28" i="22" s="1"/>
  <c r="B5" i="8" l="1"/>
  <c r="B4" i="8"/>
  <c r="B3" i="8"/>
  <c r="K31" i="8" l="1"/>
  <c r="K34" i="8" l="1"/>
  <c r="K28" i="8" l="1"/>
  <c r="K22" i="8" l="1"/>
  <c r="K25" i="8" l="1"/>
  <c r="D16" i="8" l="1"/>
  <c r="K16" i="8" l="1"/>
  <c r="K19" i="8" l="1"/>
  <c r="D10" i="8" l="1"/>
  <c r="K10" i="8" l="1"/>
  <c r="D13" i="8" l="1"/>
  <c r="D52" i="8" s="1"/>
  <c r="C38" i="8"/>
  <c r="C14" i="8" l="1"/>
  <c r="C47" i="8"/>
  <c r="K13" i="8"/>
  <c r="D60" i="8"/>
  <c r="C26" i="8"/>
  <c r="C32" i="8"/>
  <c r="I53" i="8"/>
  <c r="C29" i="8"/>
  <c r="C50" i="8"/>
  <c r="C23" i="8"/>
  <c r="C11" i="8"/>
  <c r="C20" i="8"/>
  <c r="C35" i="8"/>
  <c r="H53" i="8"/>
  <c r="C17" i="8"/>
  <c r="H60" i="8"/>
  <c r="I60" i="8"/>
  <c r="D55" i="8" l="1"/>
  <c r="E55" i="8" s="1"/>
  <c r="D58" i="8"/>
  <c r="L58" i="8" s="1"/>
  <c r="D53" i="8"/>
  <c r="F55" i="8" l="1"/>
  <c r="E56" i="8"/>
  <c r="D56" i="8"/>
  <c r="G55" i="8" l="1"/>
  <c r="F56" i="8"/>
  <c r="H55" i="8" l="1"/>
  <c r="G56" i="8"/>
  <c r="I55" i="8" l="1"/>
  <c r="I56" i="8" s="1"/>
  <c r="H56" i="8"/>
  <c r="C60" i="8" l="1"/>
</calcChain>
</file>

<file path=xl/sharedStrings.xml><?xml version="1.0" encoding="utf-8"?>
<sst xmlns="http://schemas.openxmlformats.org/spreadsheetml/2006/main" count="788" uniqueCount="445">
  <si>
    <t>ITEM</t>
  </si>
  <si>
    <t>DESCRIÇÃO</t>
  </si>
  <si>
    <t>UN.</t>
  </si>
  <si>
    <t>SERVIÇOS PRELIMINARES</t>
  </si>
  <si>
    <t>2.1</t>
  </si>
  <si>
    <t>3.1</t>
  </si>
  <si>
    <t>3.2</t>
  </si>
  <si>
    <t>4.1</t>
  </si>
  <si>
    <t>4.2</t>
  </si>
  <si>
    <t>5.1</t>
  </si>
  <si>
    <t>CÓDIGO</t>
  </si>
  <si>
    <t>PLANILHA ORÇAMENTÁRIA</t>
  </si>
  <si>
    <t>6.1</t>
  </si>
  <si>
    <t>6.2</t>
  </si>
  <si>
    <t>6.3</t>
  </si>
  <si>
    <t>TOTAL GERAL</t>
  </si>
  <si>
    <t>CRONOGRAMA FÍSICO FINANCEIRO</t>
  </si>
  <si>
    <t>ETAPA</t>
  </si>
  <si>
    <t>SERVIÇO</t>
  </si>
  <si>
    <t>MÊS/ DESEMBOLSO</t>
  </si>
  <si>
    <t>TOTAL ETAPA (R$)</t>
  </si>
  <si>
    <t>7.1</t>
  </si>
  <si>
    <t>7.2</t>
  </si>
  <si>
    <t>8.1</t>
  </si>
  <si>
    <t>9.1</t>
  </si>
  <si>
    <t>10.1</t>
  </si>
  <si>
    <t>10.3</t>
  </si>
  <si>
    <t>11.1</t>
  </si>
  <si>
    <t>11.2</t>
  </si>
  <si>
    <t>12.1</t>
  </si>
  <si>
    <t>12.3</t>
  </si>
  <si>
    <t>TRABALHOS EM TERRA</t>
  </si>
  <si>
    <t>ESTRUTURA</t>
  </si>
  <si>
    <t>COBERTA</t>
  </si>
  <si>
    <t>PAREDES E REVESTIMENTOS</t>
  </si>
  <si>
    <t>PISOS</t>
  </si>
  <si>
    <t>PINTURA</t>
  </si>
  <si>
    <t>INSTALAÇÕES ELÉTRICAS</t>
  </si>
  <si>
    <t>DIVERSOS</t>
  </si>
  <si>
    <t>INSTALAÇÕES HIDROSSANITÁRIAS</t>
  </si>
  <si>
    <t>INFRAESTRUTURA</t>
  </si>
  <si>
    <t>TOTAL (R$):</t>
  </si>
  <si>
    <t>1º MÊS</t>
  </si>
  <si>
    <t>2º MÊS</t>
  </si>
  <si>
    <t>3º MÊS</t>
  </si>
  <si>
    <t>MEDIA/MÊS</t>
  </si>
  <si>
    <t>QUANT.</t>
  </si>
  <si>
    <t>TOTAIS PARCIAIS</t>
  </si>
  <si>
    <t>SINAPI</t>
  </si>
  <si>
    <t>FONTE</t>
  </si>
  <si>
    <t>COMPOSIÇÃO DE BDI PARA SERVIÇOS GERAIS DE EDIFICAÇÕES</t>
  </si>
  <si>
    <t xml:space="preserve">DESCRIÇÃO </t>
  </si>
  <si>
    <t>SIGLA</t>
  </si>
  <si>
    <t>VALOR (*)</t>
  </si>
  <si>
    <t>FAIXA REFERENCIAL - Ref. Acórdão 2622/2013</t>
  </si>
  <si>
    <t xml:space="preserve">Taxa de rateio da Administração Central </t>
  </si>
  <si>
    <t>AC</t>
  </si>
  <si>
    <t xml:space="preserve">Taxa de Despesas Financeiras </t>
  </si>
  <si>
    <t>DF</t>
  </si>
  <si>
    <t>Taxa de Risco</t>
  </si>
  <si>
    <t>R</t>
  </si>
  <si>
    <t>COFINS</t>
  </si>
  <si>
    <t>ISS (**)</t>
  </si>
  <si>
    <t>ISS</t>
  </si>
  <si>
    <t>PIS</t>
  </si>
  <si>
    <t>CONTRIBUIÇÃO PREVIDENCIÁRIA SOBRE RECEITA BRUTA (***)</t>
  </si>
  <si>
    <t>CPRB</t>
  </si>
  <si>
    <t>*</t>
  </si>
  <si>
    <t>I</t>
  </si>
  <si>
    <t>Taxa de Lucro</t>
  </si>
  <si>
    <t>L</t>
  </si>
  <si>
    <t>BDI Resultante</t>
  </si>
  <si>
    <t>Fórmula do BDI conforme Acórdão TCU 2622/2013-P:</t>
  </si>
  <si>
    <t xml:space="preserve">Obs.: </t>
  </si>
  <si>
    <t>(*) Todas as taxas adotadas estão na faixa admissível do Acórdão 2622/2013-P do TCU.</t>
  </si>
  <si>
    <t>Obs.:
1. Acompanhar a questão, pois existe a possibilidade da Lei da Desoneração vencer ou ser revogada.
2. As atividades incluídas na desoneração são as relativas aos grupos 412, 432, 433 e 439 da CNAE 2.0</t>
  </si>
  <si>
    <t>Obs.:</t>
  </si>
  <si>
    <t>Fórmula BDI conforme Acórdão TCU 325/2007:</t>
  </si>
  <si>
    <t xml:space="preserve">Taxa de Tributos (Soma dos itens COFINS, ISS, PIS e CPRB) </t>
  </si>
  <si>
    <t>TOTAIS ACUMULADOS</t>
  </si>
  <si>
    <t>med</t>
  </si>
  <si>
    <t>*med=min</t>
  </si>
  <si>
    <t>min-med</t>
  </si>
  <si>
    <t>(BDI padrão Edificações com CPRB considerando M.O. de 40%)</t>
  </si>
  <si>
    <t>Taxa de Seguro e Taxa de Garantia</t>
  </si>
  <si>
    <t>S + G</t>
  </si>
  <si>
    <t>8.2</t>
  </si>
  <si>
    <t>CUSTO UNIT. S/BDI</t>
  </si>
  <si>
    <t>VALOR UNIT. C/BDI</t>
  </si>
  <si>
    <t>VALOR TOTAL (R$)</t>
  </si>
  <si>
    <t xml:space="preserve">BDI </t>
  </si>
  <si>
    <t>H</t>
  </si>
  <si>
    <t>Composição</t>
  </si>
  <si>
    <t>M</t>
  </si>
  <si>
    <t xml:space="preserve">--&gt; </t>
  </si>
  <si>
    <t>CONSTRUÇÃO DE TAPUME METÁLICO EM TELHA DE AÇO TRAPEZOIDAL E=0,5MM, FIXADA COM ESTRUTURA DE MADEIRA</t>
  </si>
  <si>
    <t>M2</t>
  </si>
  <si>
    <t>13.1</t>
  </si>
  <si>
    <t>UN</t>
  </si>
  <si>
    <t>93358</t>
  </si>
  <si>
    <t>87879</t>
  </si>
  <si>
    <t>96620</t>
  </si>
  <si>
    <t>M3</t>
  </si>
  <si>
    <t>88485</t>
  </si>
  <si>
    <t>88489</t>
  </si>
  <si>
    <t>89957</t>
  </si>
  <si>
    <t>89353</t>
  </si>
  <si>
    <t>PLACA DE OBRA EM CHAPA DE ACO GALVANIZADO</t>
  </si>
  <si>
    <t>ESCAVAÇÃO MANUAL DE VALA COM PROFUNDIDADE MENOR OU IGUAL A 1,50 M.</t>
  </si>
  <si>
    <t>LASTRO DE CONCRETO MAGRO, APLICADO EM PISOS OU RADIERS, ESPESSURA DE 5CM.</t>
  </si>
  <si>
    <t>LASTRO DE CONCRETO MAGRO, APLICADO EM PISOS OU RADIERS. AF_08/2017</t>
  </si>
  <si>
    <t>CHAPISCO APLICADO EM ALVENARIAS E ESTRUTURAS DE CONCRETO INTERNAS, COM COLHER DE PEDREIRO.  ARGAMASSA TRAÇO 1:3 COM PREPARO EM BETONEIRA 400L. AF_06/2014</t>
  </si>
  <si>
    <t>APLICAÇÃO DE FUNDO SELADOR ACRÍLICO EM PAREDES, UMA DEMÃO. AF_06/2014</t>
  </si>
  <si>
    <t>APLICAÇÃO MANUAL DE PINTURA COM TINTA LÁTEX ACRÍLICA EM PAREDES, DUAS DEMÃOS. AF_06/2014</t>
  </si>
  <si>
    <t>PONTO DE CONSUMO TERMINAL DE ÁGUA FRIA (SUBRAMAL) COM TUBULAÇÃO DE PVC, DN 25 MM, INSTALADO EM RAMAL DE ÁGUA, INCLUSOS RASGO E CHUMBAMENTO EM ALVENARIA. AF_12/2014</t>
  </si>
  <si>
    <t>REGISTRO DE GAVETA BRUTO, LATÃO, ROSCÁVEL, 3/4", FORNECIDO E INSTALADO EM RAMAL DE ÁGUA. AF_12/2014</t>
  </si>
  <si>
    <t>001</t>
  </si>
  <si>
    <t>OK</t>
  </si>
  <si>
    <t>004</t>
  </si>
  <si>
    <t>005</t>
  </si>
  <si>
    <t>12.4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</si>
  <si>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</si>
  <si>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</si>
  <si>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</si>
  <si>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</si>
  <si>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</si>
  <si>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</si>
  <si>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</si>
  <si>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</si>
  <si>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</si>
  <si>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ESCAVAÇÃO MANUAL DE VALA COM PROFUNDIDADE MENOR OU IGUAL A 1,30 M. AF_03/2016</t>
  </si>
  <si>
    <t>COMPOSIÇÕES DE CUSTOS UNITÁRIOS COMPLEMENTARES</t>
  </si>
  <si>
    <t>73611</t>
  </si>
  <si>
    <t>Código de referência (origem dos coeficientes da composição)</t>
  </si>
  <si>
    <t xml:space="preserve">Discriminação do código de referência: </t>
  </si>
  <si>
    <t>Unidade</t>
  </si>
  <si>
    <t>Preço Unitário Custo</t>
  </si>
  <si>
    <t>Quantidade</t>
  </si>
  <si>
    <t>COM DESONERAÇÂO</t>
  </si>
  <si>
    <t>SEM DESONERAÇÂO</t>
  </si>
  <si>
    <t xml:space="preserve">Fonte </t>
  </si>
  <si>
    <t>Código</t>
  </si>
  <si>
    <t>Coeficiente</t>
  </si>
  <si>
    <t>Custo
Unitário</t>
  </si>
  <si>
    <t>Custo
Total</t>
  </si>
  <si>
    <t>SINAPI
INSUMO</t>
  </si>
  <si>
    <t>7271</t>
  </si>
  <si>
    <t xml:space="preserve">UN    </t>
  </si>
  <si>
    <t>SINAPI
COMPOSIÇÃO</t>
  </si>
  <si>
    <t>88309</t>
  </si>
  <si>
    <t>PEDREIRO COM ENCARGOS COMPLEMENTARES</t>
  </si>
  <si>
    <t>88316</t>
  </si>
  <si>
    <t>SERVENTE COM ENCARGOS COMPLEMENTARES</t>
  </si>
  <si>
    <t>Total</t>
  </si>
  <si>
    <t>COMPOSIÇÃO 03</t>
  </si>
  <si>
    <t>CAIXA OCTOGONAL 3" X 3", PVC, INSTALADA EM LAJE - FORNECIMENTO E INSTALAÇÃO. AF_12/2015</t>
  </si>
  <si>
    <t>COMPOSIÇÃO 01</t>
  </si>
  <si>
    <t>COMPOSIÇÃO 02</t>
  </si>
  <si>
    <t>002</t>
  </si>
  <si>
    <t>COMPOSIÇÃO 04</t>
  </si>
  <si>
    <t>2,0000000</t>
  </si>
  <si>
    <t>91937</t>
  </si>
  <si>
    <t>93137</t>
  </si>
  <si>
    <t>COMPOSIÇÃO 05</t>
  </si>
  <si>
    <t>COMPOSIÇÃO 06</t>
  </si>
  <si>
    <t>COMPOSIÇÃO 07</t>
  </si>
  <si>
    <t>11.0</t>
  </si>
  <si>
    <t>91926</t>
  </si>
  <si>
    <t>CABO DE COBRE FLEXÍVEL ISOLADO, 2,5 MM², ANTI-CHAMA 450/750 V, PARA CIRCUITOS TERMINAIS - FORNECIMENTO E INSTALAÇÃO. AF_12/2015</t>
  </si>
  <si>
    <t>1.0</t>
  </si>
  <si>
    <t>1.1</t>
  </si>
  <si>
    <t>2.0</t>
  </si>
  <si>
    <t>3.0</t>
  </si>
  <si>
    <t>4.0</t>
  </si>
  <si>
    <t>5.0</t>
  </si>
  <si>
    <t>6.0</t>
  </si>
  <si>
    <t>7.0</t>
  </si>
  <si>
    <t>8.0</t>
  </si>
  <si>
    <t>9.0</t>
  </si>
  <si>
    <t>10.0</t>
  </si>
  <si>
    <t>12.0</t>
  </si>
  <si>
    <t>13.0</t>
  </si>
  <si>
    <t>COMPOSIÇÃO</t>
  </si>
  <si>
    <t>SINAPI-PE 73935/2 (AGOSTO/2016)</t>
  </si>
  <si>
    <t>ALVENARIA EM TIJOLO CERAMICO FURADO 9X19X19CM, 1 VEZ (ESPESSURA 19 CM), ASSENTADO EM ARGAMASSA TRACO 1:4 (CIMENTO E AREIA MEDIA), PREPARO MANUAL, JUNTA 1 CM</t>
  </si>
  <si>
    <t>ALVENARIA EM TIJOLO CERAMICO FURADO 9X19X19CM, 1 VEZ (ESPESSURA 19 CM), ASSENTADO EM ARGAMASSA TRACO 1:4 (CIMENTO E AREIA MEDIA), PREPARO MECÂNICO, JUNTAS DE 1 CM</t>
  </si>
  <si>
    <t>88630</t>
  </si>
  <si>
    <t>ARGAMASSA TRAÇO 1:4 (CIMENTO E AREIA MÉDIA), PREPARO MECÂNICO COM BETONEIRA 400 L. AF_08/2014</t>
  </si>
  <si>
    <t>BLOCO CERAMICO / TIJOLO VAZADO PARA ALVENARIA DE VEDACAO, 8 FUROS NA HORIZONTAL, DE 9 X 19 X 19 CM (L XA X C)</t>
  </si>
  <si>
    <t>103328</t>
  </si>
  <si>
    <t>ALVENARIA DE VEDAÇÃO DE BLOCOS CERÂMICOS FURADOS NA HORIZONTAL DE 9X19X19 CM (ESPESSURA 9 CM) E ARGAMASSA DE ASSENTAMENTO COM PREPARO EM BETONEIRA. AF_12/2021</t>
  </si>
  <si>
    <t>87792</t>
  </si>
  <si>
    <t>EMBOÇO OU MASSA ÚNICA EM ARGAMASSA TRAÇO 1:2:8, PREPARO MECÂNICO COM BETONEIRA 400 L, APLICADA MANUALMENTE EM PANOS CEGOS DE FACHADA (SEM PRESENÇA DE VÃOS), ESPESSURA DE 25 MM. AF_06/2014</t>
  </si>
  <si>
    <t>91844</t>
  </si>
  <si>
    <t>ELETRODUTO FLEXÍVEL CORRUGADO, PVC, DN 25 MM (3/4"), PARA CIRCUITOS TERMINAIS, INSTALADO EM LAJE - FORNECIMENTO E INSTALAÇÃO. AF_12/2015</t>
  </si>
  <si>
    <t>PONTO DE ILUMINAÇÃO RESIDENCIAL INCLUINDO INTERRUPTOR SIMPLES, CAIXA ELÉTRICA, ELETRODUTO, CABO, RASGO, QUEBRA E CHUMBAMENTO (EXCLUINDO LUMINÁRIA E LÂMPADA). AF_01/2016</t>
  </si>
  <si>
    <t>SINAPI-PE 93128 (JULHO/2020)</t>
  </si>
  <si>
    <t>PONTO DE ILUMINAÇÃO INSTALADO EM TETO OU FORRO, COM ELETRODUTO DE PVC FLEXÍVEL CORRUGADO DE 25 MM (3/4"), CABO DE COBRE ANTI-CHAMA DE 2,5 MM²</t>
  </si>
  <si>
    <t>Código de referência (origem dos coeficientes da composição):</t>
  </si>
  <si>
    <t>Unidade:</t>
  </si>
  <si>
    <t>Custo Unitário:</t>
  </si>
  <si>
    <t>Quantidade:</t>
  </si>
  <si>
    <t xml:space="preserve">M     </t>
  </si>
  <si>
    <t>ORSE 01679 (MAIO/2019)</t>
  </si>
  <si>
    <t>PONTO DE ESGOTO COM TUBO DE PVC RÍGIDO SOLDÁVEL DE Ø 40 MM (LAVATÓRIOS, MICTÓRIOS, RALOS SIFONADOS, ETC.). (CONF. COMPOSIÇÃO ORSE 01679)</t>
  </si>
  <si>
    <t>006</t>
  </si>
  <si>
    <t>007</t>
  </si>
  <si>
    <t>SINAPI-I</t>
  </si>
  <si>
    <t>7.3</t>
  </si>
  <si>
    <t>10.2</t>
  </si>
  <si>
    <t>11.3</t>
  </si>
  <si>
    <t>11.4</t>
  </si>
  <si>
    <t>12.2</t>
  </si>
  <si>
    <t>12.5</t>
  </si>
  <si>
    <t>13.2</t>
  </si>
  <si>
    <t>(**) A alíquota de ISS no Município do Brejo da Madre de Deus/PE é de 5% sobre os custos de mão de obra. 
Considerou-se para todos os serviços uma proporção de 40% de mão de obra, de modo que a taxa de ISS a incidir sobre os custos unitários dos itens será de 5% x 40% = 2,00%.</t>
  </si>
  <si>
    <t>103782</t>
  </si>
  <si>
    <t>LUMINÁRIA TIPO PLAFON CIRCULAR, DE SOBREPOR, COM LED DE 12/13 W - FORNECIMENTO E INSTALAÇÃO. AF_03/2022</t>
  </si>
  <si>
    <t>10.</t>
  </si>
  <si>
    <t>11.</t>
  </si>
  <si>
    <t>3.3</t>
  </si>
  <si>
    <t>003</t>
  </si>
  <si>
    <t>ADMINISTRAÇÃO</t>
  </si>
  <si>
    <t>103689</t>
  </si>
  <si>
    <t>FORNECIMENTO E INSTALAÇÃO DE PLACA DE OBRA COM CHAPA GALVANIZADA E ESTRUTURA DE MADEIRA. AF_03/2022_PS</t>
  </si>
  <si>
    <t>ADMINISTRAÇÃO LOCAL DE OBRA</t>
  </si>
  <si>
    <t>93572</t>
  </si>
  <si>
    <t>93567</t>
  </si>
  <si>
    <t>ENCARREGADO GERAL DE OBRAS COM ENCARGOS COMPLEMENTARES</t>
  </si>
  <si>
    <t>MES</t>
  </si>
  <si>
    <t>ENGENHEIRO CIVIL DE OBRA PLENO COM ENCARGOS COMPLEMENTARES</t>
  </si>
  <si>
    <t>99059</t>
  </si>
  <si>
    <t>LOCACAO CONVENCIONAL DE OBRA, UTILIZANDO GABARITO DE TÁBUAS CORRIDAS PONTALETADAS A CADA 2,00M -  2 UTILIZAÇÕES. AF_10/2018</t>
  </si>
  <si>
    <t>98459</t>
  </si>
  <si>
    <t>TAPUME COM TELHA METÁLICA. AF_05/2018</t>
  </si>
  <si>
    <t>94319</t>
  </si>
  <si>
    <t>ATERRO MANUAL DE VALAS COM SOLO ARGILO-ARENOSO. AF_08/2023</t>
  </si>
  <si>
    <t>98525</t>
  </si>
  <si>
    <t>LIMPEZA MECANIZADA DE CAMADA VEGETAL, VEGETAÇÃO E PEQUENAS ÁRVORES (DIÂMETRO DE TRONCO MENOR QUE 0,20 M), COM TRATOR DE ESTEIRAS.AF_05/2018</t>
  </si>
  <si>
    <t>5.911,16</t>
  </si>
  <si>
    <t>17.905,94</t>
  </si>
  <si>
    <t>20.723,89</t>
  </si>
  <si>
    <t>104737</t>
  </si>
  <si>
    <t>REATERRO MANUAL DE VALAS, COM PLACA VIBRATÓRIA. AF_08/2023</t>
  </si>
  <si>
    <t>104487</t>
  </si>
  <si>
    <t>COMPOSIÇÃO PARAMÉTRICA PARA EXECUÇÃO DE ESTRUTURAS DE CONCRETO ARMADO, PARA EDIFICAÇÃO HABITACIONAL UNIFAMILIAR TÉRREA (CASA EM EMPREENDIMENTOS), FCK = 25 MPA. AF_11/2022</t>
  </si>
  <si>
    <t>104486</t>
  </si>
  <si>
    <t>COMPOSIÇÃO PARAMÉTRICA PARA EXECUÇÃO DE ESTRUTURAS DE CONCRETO ARMADO, PARA EDIFICAÇÃO HABITACIONAL UNIFAMILIAR TÉRREA (CASA ISOLADA), FCK = 25 MPA. AF_11/2022</t>
  </si>
  <si>
    <t>497,65</t>
  </si>
  <si>
    <t>508,87</t>
  </si>
  <si>
    <t>92541</t>
  </si>
  <si>
    <t>TRAMA DE MADEIRA COMPOSTA POR RIPAS, CAIBROS E TERÇAS PARA TELHADOS DE ATÉ 2 ÁGUAS PARA TELHA CERÂMICA CAPA-CANAL, INCLUSO TRANSPORTE VERTICAL. AF_07/2019</t>
  </si>
  <si>
    <t>94201</t>
  </si>
  <si>
    <t>TELHAMENTO COM TELHA CERÂMICA CAPA-CANAL, TIPO COLONIAL, COM ATÉ 2 ÁGUAS, INCLUSO TRANSPORTE VERTICAL. AF_07/2019</t>
  </si>
  <si>
    <t>104475</t>
  </si>
  <si>
    <t>COMPOSIÇÃO PARAMÉTRICA DE PONTO ELÉTRICO DE TOMADA DE USO GERAL 2P+T (10A/250V) EM EDIFÍCIO RESIDENCIAL COM ELETRODUTO EMBUTIDO EM RASGOS NAS PAREDES, INCLUSO TOMADA, ELETRODUTO, CABO, RASGO, QUEBRA E CHUMBAMENTO. AF_11/2022</t>
  </si>
  <si>
    <t xml:space="preserve">LUMINARIA LED REFLETOR RETANGULAR BIVOLT, LUZ BRANCA, 50 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</si>
  <si>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96986</t>
  </si>
  <si>
    <t>HASTE DE ATERRAMENTO, DIÂMETRO 3/4", COM 3 METROS - FORNECIMENTO E INSTALAÇÃO. AF_08/2023</t>
  </si>
  <si>
    <t>DATA BASE: FEVEREIRO/2024</t>
  </si>
  <si>
    <t>1.2</t>
  </si>
  <si>
    <t>1.3</t>
  </si>
  <si>
    <t>1.4</t>
  </si>
  <si>
    <t>4.3</t>
  </si>
  <si>
    <t>preço m2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</si>
  <si>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</si>
  <si>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</si>
  <si>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</si>
  <si>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</si>
  <si>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</si>
  <si>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</si>
  <si>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</si>
  <si>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</si>
  <si>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</si>
  <si>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OBRA: CONSTRUÇÃO DA PRAÇA DO CATOLÉ</t>
  </si>
  <si>
    <t>LOCAL: SÍTIO CATOLÉ - BREJO MADRE DE DEUS/PE</t>
  </si>
  <si>
    <t>119,94</t>
  </si>
  <si>
    <t>0,41</t>
  </si>
  <si>
    <t>93680</t>
  </si>
  <si>
    <t>EXECUÇÃO DE PAVIMENTO EM PISO INTERTRAVADO, COM BLOCO RETANGULAR COLORIDO DE 20 X 10 CM, ESPESSURA 6 CM. AF_10/2022</t>
  </si>
  <si>
    <t>92397</t>
  </si>
  <si>
    <t>EXECUÇÃO DE PAVIMENTO EM PISO INTERTRAVADO, COM BLOCO RETANGULAR COR NATURAL DE 20 X 10 CM, ESPESSURA 6 CM. AF_10/2022</t>
  </si>
  <si>
    <t>94273</t>
  </si>
  <si>
    <t>ASSENTAMENTO DE GUIA (MEIO-FIO) EM TRECHO RETO, CONFECCIONADA EM CONCRETO PRÉ-FABRICADO, DIMENSÕES 100X15X13X30 CM (COMPRIMENTO X BASE INFERIOR X BASE SUPERIOR X ALTURA), PARA VIAS URBANAS (USO VIÁRIO). AF_06/2016</t>
  </si>
  <si>
    <r>
      <rPr>
        <b/>
        <u/>
        <sz val="8"/>
        <rFont val="Calibri"/>
        <family val="2"/>
      </rPr>
      <t>COM</t>
    </r>
    <r>
      <rPr>
        <b/>
        <sz val="8"/>
        <rFont val="Calibri"/>
        <family val="2"/>
      </rPr>
      <t xml:space="preserve"> DESON</t>
    </r>
  </si>
  <si>
    <r>
      <rPr>
        <b/>
        <u/>
        <sz val="8"/>
        <rFont val="Calibri"/>
        <family val="2"/>
      </rPr>
      <t>SEM</t>
    </r>
    <r>
      <rPr>
        <b/>
        <sz val="8"/>
        <rFont val="Calibri"/>
        <family val="2"/>
      </rPr>
      <t xml:space="preserve"> DESON</t>
    </r>
  </si>
  <si>
    <r>
      <t xml:space="preserve">FONTES DE PREÇOS: SINAPI DEZEMBRO/2023 - </t>
    </r>
    <r>
      <rPr>
        <b/>
        <u/>
        <sz val="10"/>
        <rFont val="Calibri"/>
        <family val="2"/>
      </rPr>
      <t>SEM</t>
    </r>
    <r>
      <rPr>
        <b/>
        <sz val="10"/>
        <rFont val="Calibri"/>
        <family val="2"/>
      </rPr>
      <t xml:space="preserve"> DESONERAÇÃO - BDI ADOTADO: 20,50%</t>
    </r>
  </si>
  <si>
    <r>
      <t xml:space="preserve">ORÇAMENTO </t>
    </r>
    <r>
      <rPr>
        <b/>
        <u/>
        <sz val="8"/>
        <rFont val="Calibri"/>
        <family val="2"/>
      </rPr>
      <t>SEM</t>
    </r>
    <r>
      <rPr>
        <b/>
        <sz val="8"/>
        <rFont val="Calibri"/>
        <family val="2"/>
      </rPr>
      <t xml:space="preserve"> DESONERAÇÃO</t>
    </r>
  </si>
  <si>
    <t>94992</t>
  </si>
  <si>
    <t>EXECUÇÃO DE PASSEIO (CALÇADA) OU PISO DE CONCRETO COM CONCRETO MOLDADO IN LOCO, FEITO EM OBRA, ACABAMENTO CONVENCIONAL, ESPESSURA 6 CM, ARMADO. AF_08/2022</t>
  </si>
  <si>
    <t>75,82</t>
  </si>
  <si>
    <t>97113</t>
  </si>
  <si>
    <t>APLICAÇÃO DE LONA PLÁSTICA PARA EXECUÇÃO DE PAVIMENTOS DE CONCRETO. AF_04/2022</t>
  </si>
  <si>
    <t>92549</t>
  </si>
  <si>
    <t>FABRICAÇÃO E INSTALAÇÃO DE TESOURA INTEIRA EM MADEIRA NÃO APARELHADA, VÃO DE 7 M, PARA TELHA CERÂMICA OU DE CONCRETO, INCLUSO IÇAMENTO. AF_07/2019</t>
  </si>
  <si>
    <t>1.923,60</t>
  </si>
  <si>
    <t>102363</t>
  </si>
  <si>
    <t>ALAMBRADO PARA QUADRA POLIESPORTIVA, ESTRUTURADO POR TUBOS DE ACO GALVANIZADO, (MONTANTES COM DIAMETRO 2", TRAVESSAS E ESCORAS COM DIÂMETRO 1 ¼), COM TELA DE ARAME GALVANIZADO, FIO 12 BWG E MALHA QUADRADA 5X5CM (EXCETO MURETA). AF_03/2021</t>
  </si>
  <si>
    <t>179,06</t>
  </si>
  <si>
    <t>EQUIPAMENTOS</t>
  </si>
  <si>
    <t>102494</t>
  </si>
  <si>
    <t>PINTURA DE PISO COM TINTA EPÓXI, APLICAÇÃO MANUAL, 2 DEMÃOS, INCLUSO PRIMER EPÓXI. AF_05/2021</t>
  </si>
  <si>
    <t>65,26</t>
  </si>
  <si>
    <t>101876</t>
  </si>
  <si>
    <t>QUADRO DE DISTRIBUIÇÃO DE ENERGIA EM PVC, DE EMBUTIR, SEM BARRAMENTO, PARA 6 DISJUNTORES - FORNECIMENTO E INSTALAÇÃO. AF_10/2020</t>
  </si>
  <si>
    <t>25399</t>
  </si>
  <si>
    <t xml:space="preserve">CONJUNTO PARA QUADRA DE  VOLEI COM POSTES EM TUBO DE ACO GALVANIZADO 3", H = *255* CM, PINTURA EM TINTA ESMALTE SINTETICO, REDE DE NYLON COM 2 MM, MALHA 10 X 10 CM E ANTENAS OFICIAIS EM FIBRA DE VIDRO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</si>
  <si>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2.721,83</t>
  </si>
  <si>
    <t>CONJUNTO DE CASINHA INFANTIL COM ESCADA E ESCORREGO (PLAYGROUND MÉDIO) DE MADEIRA, DIMENSÕES MÍNIMAS (C X L X H) 1,50X1,50X2,50M, EM MADEIRA DE LEI APARELHADA E ENVERNIZADA</t>
  </si>
  <si>
    <t>COTAÇÃO</t>
  </si>
  <si>
    <t>CONJUNTO DE TREPA-TREPA DE MADEIRA, DIMENSÕES MÍNIMAS (C X L X H) 2,00X0,80X2,50M, EM MADEIRA DE LEI APARELHADA E ENVERNIZADA</t>
  </si>
  <si>
    <t>CONJUNTO DE PAR DE GANGORRAS DE MADEIRA, DIMENSÕES MÍNIMAS (C X L X H) 2,00X0,60X1,00M, EM MADEIRA DE LEI APARELHADA E ENVERNIZADA</t>
  </si>
  <si>
    <t>Reservatorio elevado c/ caixa d'agua em fibra de vidro de 5.000 litros apoiado em estrutura pre-moldada concreto, composta de capitel p/apoio da caixa e pilar cilindrico c/altura util = 6,00m, incluso frete e montagem no local, exceto inst.hidraulica</t>
  </si>
  <si>
    <t>ORSE</t>
  </si>
  <si>
    <t>7602</t>
  </si>
  <si>
    <t xml:space="preserve">TORNEIRA DE METAL AMARELO, PARA TANQUE / JARDIM, DE PAREDE, COM BICO PLASTICO, CANO CURTO, AREA EXTERNA, PADRAO POPULAR / USO GERAL, 1/2 " OU 3/4 " (REF 1128)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</si>
  <si>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98519</t>
  </si>
  <si>
    <t>REVOLVIMENTO E LIMPEZA MANUAL DE SOLO. AF_05/2018</t>
  </si>
  <si>
    <t>97097</t>
  </si>
  <si>
    <t>ACABAMENTO POLIDO PARA PISO DE CONCRETO ARMADO OU LAJE SOBRE SOLO DE ALTA RESISTÊNCIA. AF_09/2021</t>
  </si>
  <si>
    <t>89446</t>
  </si>
  <si>
    <t>TUBO, PVC, SOLDÁVEL, DN 25MM, INSTALADO EM PRUMADA DE ÁGUA - FORNECIMENTO E INSTALAÇÃO. AF_06/2022</t>
  </si>
  <si>
    <t>FORNECIMENTO DE BANCO DE PRAÇA MODELO DANDARA/BARUERI, EM PÉS DE CONCRETO ARMADO E RÉGUAS EM MADEIRA DE ALTA RESISTÊNCIA PARAFUSADA, CAPACIDADE 3 PESSOAS</t>
  </si>
  <si>
    <t>ESCAVAÇÃO MANUAL DE VALA COM PROFUNDIDADE MENOR OU IGUAL A 1,30 M. AF_02/2021</t>
  </si>
  <si>
    <t>95241</t>
  </si>
  <si>
    <t>LASTRO DE CONCRETO MAGRO, APLICADO EM PISOS, LAJES SOBRE SOLO OU RADIERS, ESPESSURA DE 5 CM. AF_07/2016</t>
  </si>
  <si>
    <t>ALVENARIA DE EMBASAMENTO DE BLOCOS CERÂMICOS FURADOS NA HORIZONTAL, DE 9X19X19CM (ESPESSURA 19CM), ARGAMASSA DE ASSENTAMENTO COM PREPARO EM BETONEIRA.</t>
  </si>
  <si>
    <t xml:space="preserve">M2    </t>
  </si>
  <si>
    <t>87535</t>
  </si>
  <si>
    <t>EMBOÇO, PARA RECEBIMENTO DE CERÂMICA, EM ARGAMASSA TRAÇO 1:2:8, PREPARO MECÂNICO COM BETONEIRA 400L, APLICADO MANUALMENTE EM FACES INTERNAS DE PAREDES, PARA AMBIENTE COM ÁREA  MAIOR QUE 10M2, ESPESSURA DE 20MM, COM EXECUÇÃO DE TALISCAS. AF_06/2014</t>
  </si>
  <si>
    <t>92267</t>
  </si>
  <si>
    <t>FABRICAÇÃO DE FÔRMA PARA LAJES, EM CHAPA DE MADEIRA COMPENSADA RESINADA, E = 17 MM. AF_09/2020</t>
  </si>
  <si>
    <t>92768</t>
  </si>
  <si>
    <t>ARMAÇÃO DE LAJE DE UMA ESTRUTURA CONVENCIONAL DE CONCRETO ARMADO EM UM EDIFÍCIO DE MÚLTIPLOS PAVIMENTOS UTILIZANDO AÇO CA-60 DE 5,0 MM - MONTAGEM. AF_12/2015</t>
  </si>
  <si>
    <t>KG</t>
  </si>
  <si>
    <t>92769</t>
  </si>
  <si>
    <t>ARMAÇÃO DE LAJE DE UMA ESTRUTURA CONVENCIONAL DE CONCRETO ARMADO EM UM EDIFÍCIO DE MÚLTIPLOS PAVIMENTOS UTILIZANDO AÇO CA-50 DE 6,3 MM - MONTAGEM. AF_12/2015</t>
  </si>
  <si>
    <t>94965</t>
  </si>
  <si>
    <t>CONCRETO FCK = 25MPA, TRAÇO 1:2,3:2,7 (EM MASSA SECA DE CIMENTO/ AREIA MÉDIA/ BRITA 1) - PREPARO MECÂNICO COM BETONEIRA 400 L. AF_05/2021</t>
  </si>
  <si>
    <t>CONJUNTO DE MESA DE CONCRETO COM TAMPO REVESTIDO COM CERÂMICA E 04 (QUATRO) BANCOS EM CONCRETO, PADRÃO SECID/PE , CONFORME PROJETO</t>
  </si>
  <si>
    <t>482,41</t>
  </si>
  <si>
    <t>492,26</t>
  </si>
  <si>
    <t>103670</t>
  </si>
  <si>
    <t>LANÇAMENTO COM USO DE BALDES, ADENSAMENTO E ACABAMENTO DE CONCRETO EM ESTRUTURAS. AF_02/2022</t>
  </si>
  <si>
    <t>246,32</t>
  </si>
  <si>
    <t>275,98</t>
  </si>
  <si>
    <t>87265</t>
  </si>
  <si>
    <t>REVESTIMENTO CERÂMICO PARA PAREDES INTERNAS COM PLACAS TIPO ESMALTADA EXTRA DE DIMENSÕES 20X20 CM APLICADAS NA ALTURA INTEIRA DAS PAREDES.  AF_02/2023_PE</t>
  </si>
  <si>
    <t xml:space="preserve">COMPOSIÇÃO </t>
  </si>
  <si>
    <t>5033</t>
  </si>
  <si>
    <t>POSTE DE CONCRETO ARMADO DE SECAO DUPLO T, EXTENSAO DE 9,00 M, RESISTENCIA DE 300 A 400 DAN, TIPO B OU D</t>
  </si>
  <si>
    <t>100601</t>
  </si>
  <si>
    <t>ASSENTAMENTO DE POSTE DE CONCRETO COM COMPRIMENTO NOMINAL DE 9 M, CARGA NOMINAL DE 400 DAN, ENGASTAMENTO BASE CONCRETADA COM 1 M DE CONCRETO E 0,5 M DE SOLO (NÃO INCLUI FORNECIMENTO). AF_11/2019</t>
  </si>
  <si>
    <t>101538</t>
  </si>
  <si>
    <t>ARMAÇÃO SECUNDÁRIA, COM 1 ESTRIBO E 1 ISOLADOR - FORNECIMENTO E INSTALAÇÃO. AF_07/2020</t>
  </si>
  <si>
    <t>101938</t>
  </si>
  <si>
    <t>CAIXA DE PROTEÇÃO PARA MEDIDOR MONOFÁSICO DE EMBUTIR - FORNECIMENTO E INSTALAÇÃO. AF_10/2020</t>
  </si>
  <si>
    <t>93654</t>
  </si>
  <si>
    <t>DISJUNTOR MONOPOLAR TIPO DIN, CORRENTE NOMINAL DE 16A - FORNECIMENTO E INSTALAÇÃO. AF_10/2020</t>
  </si>
  <si>
    <t>93657</t>
  </si>
  <si>
    <t>DISJUNTOR MONOPOLAR TIPO DIN, CORRENTE NOMINAL DE 32A - FORNECIMENTO E INSTALAÇÃO. AF_10/2020</t>
  </si>
  <si>
    <t>93659</t>
  </si>
  <si>
    <t>DISJUNTOR MONOPOLAR TIPO DIN, CORRENTE NOMINAL DE 50A - FORNECIMENTO E INSTALAÇÃO. AF_10/2020</t>
  </si>
  <si>
    <t>ESPALHAMENTO DE COLCHÃO DE AREIA, SEM ADENSAMENTO.  (ADAPTADO DA COMPOSIÇÃO SINAPI 79482)</t>
  </si>
  <si>
    <t>SINAPI-PE SINAPI 79482</t>
  </si>
  <si>
    <t>COLCHÃO DE AREIA, SEM ADENSAMENTO</t>
  </si>
  <si>
    <t>AREIA PARA ATERRO - POSTO JAZIDA/FORNECEDOR (RETIRADO NA JAZIDA, SEM TRANSPORTE)</t>
  </si>
  <si>
    <t xml:space="preserve">M3    </t>
  </si>
  <si>
    <t>101632</t>
  </si>
  <si>
    <t>RELÉ FOTOELÉTRICO PARA COMANDO DE ILUMINAÇÃO EXTERNA 1000 W - FORNECIMENTO E INSTALAÇÃO. AF_08/2020</t>
  </si>
  <si>
    <t>ELETRODUTO RÍGIDO ROSCÁVEL, PVC, DN 3/4" - FORNECIMENTO E INSTALAÇÃO, INCLUSIVE ESCAVAÇÃO MANUAL E REATERRO COMPACTADO DAS VALAS, SEÇÃO MÉDIA DE 20X40CM (LXH). (ADAPTADA DA COMPOSIÇÃO SINAPI 93008)</t>
  </si>
  <si>
    <t xml:space="preserve">ELETRODUTO RÍGIDO ROSCÁVEL, PVC, DN 3/4" - FORNECIMENTO E INSTALAÇÃO, INCLUSIVE ESCAVAÇÃO MANUAL E REATERRO COMPACTADO DAS VALAS, SEÇÃO MÉDIA DE 20X40CM (LXH). </t>
  </si>
  <si>
    <t>SINAPI-PE 93008</t>
  </si>
  <si>
    <t>2674</t>
  </si>
  <si>
    <t>88247</t>
  </si>
  <si>
    <t>88264</t>
  </si>
  <si>
    <t>ELETRODUTO DE PVC RIGIDO ROSCAVEL DE 3/4 ", SEM LUVA</t>
  </si>
  <si>
    <t>AUXILIAR DE ELETRICISTA COM ENCARGOS COMPLEMENTARES</t>
  </si>
  <si>
    <t>ELETRICISTA COM ENCARGOS COMPLEMENTARES</t>
  </si>
  <si>
    <t>91930</t>
  </si>
  <si>
    <t>CABO DE COBRE FLEXÍVEL ISOLADO, 6 MM², ANTI-CHAMA 450/750 V, PARA CIRCUITOS TERMINAIS - FORNECIMENTO E INSTALAÇÃO. AF_12/2015</t>
  </si>
  <si>
    <t>97881</t>
  </si>
  <si>
    <t>CAIXA ENTERRADA ELÉTRICA RETANGULAR, EM CONCRETO PRÉ-MOLDADO, FUNDO COM BRITA, DIMENSÕES INTERNAS: 0,3X0,3X0,3 M. AF_12/2020</t>
  </si>
  <si>
    <t>39746</t>
  </si>
  <si>
    <t>2512</t>
  </si>
  <si>
    <t>5928</t>
  </si>
  <si>
    <t>GUINDAUTO HIDRÁULICO, CAPACIDADE MÁXIMA DE CARGA 6200 KG, MOMENTO MÁXIMO DE CARGA 11,7 TM, ALCANCE MÁXIMO HORIZONTAL 9,70 M, INCLUSIVE CAMINHÃO TOCO PBT 16.000 KG, POTÊNCIA DE 189 CV - CHP DIURNO. AF_06/2014</t>
  </si>
  <si>
    <t>CHP</t>
  </si>
  <si>
    <t xml:space="preserve">CHUMBADOR DE ACO GALVANIZADO, 1" X 600 MM, PARA POSTES DE ACO COM BASE, INCLUSO PORCA E ARRUELA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</si>
  <si>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BRACO P/ LUMINARIA PUBLICA 1 X 1,50M ROMAGNOLE OU EQUIV</t>
  </si>
  <si>
    <t>14165</t>
  </si>
  <si>
    <t xml:space="preserve">POSTE CONICO CONTINUO EM ACO GALVANIZADO, RETO, ENGASTADO,  H = 9 M, DIAMETRO INFERIOR = *145*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</si>
  <si>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SINAPI-PE 100620</t>
  </si>
  <si>
    <t>POSTE DE ACO CONICO CONTINUO RETO, FLANGEADO, ALTURA ÚTIL DE 9M, DIAM. MIN. INFERIOR 125MM, INCLUSIVE BASE FLANGEADA (CHUMBADOR 4 PARAFUSOS) E SUPORTES EM TUBO DE AÇO PARA 4 LUMINÁRIAS - FORNECIMENTO E INSTALACAO. (ADAPTADO DA COMPOSIÇÃO SINAPI 100620)</t>
  </si>
  <si>
    <t>POSTE DE AÇO CONICO CONTÍNUO CURVO SIMPLES, FLANGEADO, H=9M, INCLUSIVE LUMINÁRIA, SEM LÂMPADA - FORNECIMENTO E INSTALACAO. AF_11/2019</t>
  </si>
  <si>
    <t>101658</t>
  </si>
  <si>
    <t>LUMINÁRIA DE LED PARA ILUMINAÇÃO PÚBLICA, DE 138 W ATÉ 180 W - FORNECIMENTO E INSTALAÇÃO. AF_08/2020</t>
  </si>
  <si>
    <t>7.4</t>
  </si>
  <si>
    <t>7.5</t>
  </si>
  <si>
    <t>103310</t>
  </si>
  <si>
    <t>INSTALAÇÃO DE LIXEIRA METÁLICA DUPLA, CAPACIDADE DE 60 L, EM TUBO DE AÇO CARBONO E CESTOS EM CHAPA DE AÇO COM PINTURA ELETROSTÁTICA, SOBRE SOLO. AF_11/2021</t>
  </si>
  <si>
    <t>10848</t>
  </si>
  <si>
    <t>PLACA DE INAUGURACAO METALICA, *40* CM X *60* CM</t>
  </si>
  <si>
    <t>7.6</t>
  </si>
  <si>
    <t>7.7</t>
  </si>
  <si>
    <t>7.8</t>
  </si>
  <si>
    <t>8.3</t>
  </si>
  <si>
    <t>8.4</t>
  </si>
  <si>
    <t>100434</t>
  </si>
  <si>
    <t>CALHA DE BEIRAL, SEMICIRCULAR DE PVC, DIAMETRO 125 MM, INCLUINDO CABECEIRAS, EMENDAS, BOCAIS, SUPORTES E VEDAÇÕES, EXCLUINDO CONDUTORES, INCLUSO TRANSPORTE VERTICAL. AF_07/2019</t>
  </si>
  <si>
    <t>9.2</t>
  </si>
  <si>
    <t>9.3</t>
  </si>
  <si>
    <t>9.4</t>
  </si>
  <si>
    <t>9.5</t>
  </si>
  <si>
    <t>9.6</t>
  </si>
  <si>
    <t>9.7</t>
  </si>
  <si>
    <t>11.14</t>
  </si>
  <si>
    <t>11.15</t>
  </si>
  <si>
    <t>11.16</t>
  </si>
  <si>
    <t>11.17</t>
  </si>
  <si>
    <t>11.18</t>
  </si>
  <si>
    <t>11.19</t>
  </si>
  <si>
    <t>11.20</t>
  </si>
  <si>
    <t>1.283,88</t>
  </si>
  <si>
    <t>753,75</t>
  </si>
  <si>
    <t>13.3</t>
  </si>
  <si>
    <t>13.4</t>
  </si>
  <si>
    <t>98511</t>
  </si>
  <si>
    <t>PLANTIO DE ÁRVORE ORNAMENTAL COM ALTURA DE MUDA MAIOR QUE 2,00 M E MENOR OU IGUAL A 4,00 M. AF_05/2018</t>
  </si>
  <si>
    <t>223,15</t>
  </si>
  <si>
    <r>
      <t xml:space="preserve">BONIFICAÇÃO E DESPESAS INDIRETAS - </t>
    </r>
    <r>
      <rPr>
        <b/>
        <u/>
        <sz val="14"/>
        <rFont val="Calibri"/>
        <family val="2"/>
      </rPr>
      <t>SEM</t>
    </r>
    <r>
      <rPr>
        <b/>
        <u/>
        <sz val="12"/>
        <rFont val="Calibri"/>
        <family val="2"/>
      </rPr>
      <t xml:space="preserve"> DESONERAÇÃO</t>
    </r>
  </si>
  <si>
    <r>
      <t xml:space="preserve">De </t>
    </r>
    <r>
      <rPr>
        <b/>
        <sz val="10"/>
        <color theme="1"/>
        <rFont val="Calibri"/>
        <family val="2"/>
      </rPr>
      <t>3,00%</t>
    </r>
    <r>
      <rPr>
        <sz val="10"/>
        <color theme="1"/>
        <rFont val="Calibri"/>
        <family val="2"/>
      </rPr>
      <t xml:space="preserve"> até </t>
    </r>
    <r>
      <rPr>
        <b/>
        <sz val="10"/>
        <color theme="1"/>
        <rFont val="Calibri"/>
        <family val="2"/>
      </rPr>
      <t>5,50%</t>
    </r>
    <r>
      <rPr>
        <sz val="10"/>
        <color theme="1"/>
        <rFont val="Calibri"/>
        <family val="2"/>
      </rPr>
      <t xml:space="preserve">; médio = </t>
    </r>
    <r>
      <rPr>
        <b/>
        <sz val="10"/>
        <color theme="1"/>
        <rFont val="Calibri"/>
        <family val="2"/>
      </rPr>
      <t>4,00%</t>
    </r>
  </si>
  <si>
    <r>
      <t xml:space="preserve">De </t>
    </r>
    <r>
      <rPr>
        <b/>
        <sz val="10"/>
        <color theme="1"/>
        <rFont val="Calibri"/>
        <family val="2"/>
      </rPr>
      <t>0,59%</t>
    </r>
    <r>
      <rPr>
        <sz val="10"/>
        <color theme="1"/>
        <rFont val="Calibri"/>
        <family val="2"/>
      </rPr>
      <t xml:space="preserve"> até </t>
    </r>
    <r>
      <rPr>
        <b/>
        <sz val="10"/>
        <color theme="1"/>
        <rFont val="Calibri"/>
        <family val="2"/>
      </rPr>
      <t>1,39%</t>
    </r>
    <r>
      <rPr>
        <sz val="10"/>
        <color theme="1"/>
        <rFont val="Calibri"/>
        <family val="2"/>
      </rPr>
      <t xml:space="preserve">; médio = </t>
    </r>
    <r>
      <rPr>
        <b/>
        <sz val="10"/>
        <color theme="1"/>
        <rFont val="Calibri"/>
        <family val="2"/>
      </rPr>
      <t>1,23%</t>
    </r>
  </si>
  <si>
    <r>
      <t xml:space="preserve">De </t>
    </r>
    <r>
      <rPr>
        <b/>
        <sz val="10"/>
        <color theme="1"/>
        <rFont val="Calibri"/>
        <family val="2"/>
      </rPr>
      <t>0,97%</t>
    </r>
    <r>
      <rPr>
        <sz val="10"/>
        <color theme="1"/>
        <rFont val="Calibri"/>
        <family val="2"/>
      </rPr>
      <t xml:space="preserve"> até </t>
    </r>
    <r>
      <rPr>
        <b/>
        <sz val="10"/>
        <color theme="1"/>
        <rFont val="Calibri"/>
        <family val="2"/>
      </rPr>
      <t>1,27%</t>
    </r>
    <r>
      <rPr>
        <sz val="10"/>
        <color theme="1"/>
        <rFont val="Calibri"/>
        <family val="2"/>
      </rPr>
      <t xml:space="preserve">; médio = </t>
    </r>
    <r>
      <rPr>
        <b/>
        <sz val="10"/>
        <color theme="1"/>
        <rFont val="Calibri"/>
        <family val="2"/>
      </rPr>
      <t>1,27%</t>
    </r>
  </si>
  <si>
    <r>
      <t xml:space="preserve">De </t>
    </r>
    <r>
      <rPr>
        <b/>
        <sz val="10"/>
        <color theme="1"/>
        <rFont val="Calibri"/>
        <family val="2"/>
      </rPr>
      <t>0,80%</t>
    </r>
    <r>
      <rPr>
        <sz val="10"/>
        <color theme="1"/>
        <rFont val="Calibri"/>
        <family val="2"/>
      </rPr>
      <t xml:space="preserve"> até </t>
    </r>
    <r>
      <rPr>
        <b/>
        <sz val="10"/>
        <color theme="1"/>
        <rFont val="Calibri"/>
        <family val="2"/>
      </rPr>
      <t>1,00%</t>
    </r>
    <r>
      <rPr>
        <sz val="10"/>
        <color theme="1"/>
        <rFont val="Calibri"/>
        <family val="2"/>
      </rPr>
      <t xml:space="preserve">; médio = </t>
    </r>
    <r>
      <rPr>
        <b/>
        <sz val="10"/>
        <color theme="1"/>
        <rFont val="Calibri"/>
        <family val="2"/>
      </rPr>
      <t>0,80%</t>
    </r>
  </si>
  <si>
    <r>
      <t xml:space="preserve">De </t>
    </r>
    <r>
      <rPr>
        <b/>
        <sz val="10"/>
        <color theme="1"/>
        <rFont val="Calibri"/>
        <family val="2"/>
      </rPr>
      <t>6,16%</t>
    </r>
    <r>
      <rPr>
        <sz val="10"/>
        <color theme="1"/>
        <rFont val="Calibri"/>
        <family val="2"/>
      </rPr>
      <t xml:space="preserve"> até </t>
    </r>
    <r>
      <rPr>
        <b/>
        <sz val="10"/>
        <color theme="1"/>
        <rFont val="Calibri"/>
        <family val="2"/>
      </rPr>
      <t>8,96%</t>
    </r>
    <r>
      <rPr>
        <sz val="10"/>
        <color theme="1"/>
        <rFont val="Calibri"/>
        <family val="2"/>
      </rPr>
      <t xml:space="preserve">; médio = </t>
    </r>
    <r>
      <rPr>
        <b/>
        <sz val="10"/>
        <color theme="1"/>
        <rFont val="Calibri"/>
        <family val="2"/>
      </rPr>
      <t>7,40%</t>
    </r>
  </si>
  <si>
    <r>
      <t xml:space="preserve">De </t>
    </r>
    <r>
      <rPr>
        <b/>
        <sz val="10"/>
        <color theme="1"/>
        <rFont val="Calibri"/>
        <family val="2"/>
      </rPr>
      <t>20,34%</t>
    </r>
    <r>
      <rPr>
        <sz val="10"/>
        <color theme="1"/>
        <rFont val="Calibri"/>
        <family val="2"/>
      </rPr>
      <t xml:space="preserve"> até </t>
    </r>
    <r>
      <rPr>
        <b/>
        <sz val="10"/>
        <color theme="1"/>
        <rFont val="Calibri"/>
        <family val="2"/>
      </rPr>
      <t>25,00%</t>
    </r>
    <r>
      <rPr>
        <sz val="10"/>
        <color theme="1"/>
        <rFont val="Calibri"/>
        <family val="2"/>
      </rPr>
      <t xml:space="preserve">; médio = </t>
    </r>
    <r>
      <rPr>
        <b/>
        <sz val="10"/>
        <color theme="1"/>
        <rFont val="Calibri"/>
        <family val="2"/>
      </rPr>
      <t>22,12%</t>
    </r>
  </si>
  <si>
    <r>
      <t xml:space="preserve">(***) Conforme determina a Lei nº 13.161, de 31 de agosto de 2015, que altera a Lei nº 12.546, de 14 de dezembro 2011, para obras de infraestrutura e do setor de construção, foi regulamentada a substituição da contribuição previdenciária patronal de 20% sobre a folha de pagamentos por uma contribuição de 4,50% sobre a receita bruta, sendo facultativa a opção pela contribuição substitutiva. Nesta composição de BDI foi considerada a opção pela contribuição substitutiva, sendo portanto necessário utilizar tabelas de custos </t>
    </r>
    <r>
      <rPr>
        <u/>
        <sz val="11"/>
        <color rgb="FFFF0000"/>
        <rFont val="Calibri"/>
        <family val="2"/>
      </rPr>
      <t>desoneradas</t>
    </r>
    <r>
      <rPr>
        <sz val="11"/>
        <color rgb="FFFF0000"/>
        <rFont val="Calibri"/>
        <family val="2"/>
      </rPr>
      <t xml:space="preserve"> para elaboração do orçamento básico.</t>
    </r>
  </si>
  <si>
    <r>
      <rPr>
        <sz val="12"/>
        <color theme="1"/>
        <rFont val="Calibri"/>
        <family val="2"/>
      </rPr>
      <t xml:space="preserve">    Os custos indiretos são decorrentes da estrutura da obra e da empresa e que não podem ser atribuídos diretamente à execução de um dado serviço.
    Os custos indiretos variam muito, principalmente, em função do local de execução dos serviços, do tipo da obra, impostos incidentes, e ainda com as exigências do edital ou contrato. Devem ser distribuídos pelos custos unitários diretos totais dos serviços na forma de percentual destes.
    Os custos indiretos que mais afetam a construção estão a seguir identificados, entretanto, o engenheiro de custos deve analisar em cada caso sua validade. </t>
    </r>
    <r>
      <rPr>
        <b/>
        <sz val="12"/>
        <color theme="1"/>
        <rFont val="Calibri"/>
        <family val="2"/>
      </rPr>
      <t xml:space="preserve">
</t>
    </r>
  </si>
  <si>
    <t>UND</t>
  </si>
  <si>
    <t>12.</t>
  </si>
  <si>
    <t>13.</t>
  </si>
  <si>
    <t>4º MÊS</t>
  </si>
  <si>
    <t>5º MÊS</t>
  </si>
  <si>
    <t>6º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</si>
</sst>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 &quot;R$&quot;\ * #,##0.00_ ;_ &quot;R$&quot;\ * \-#,##0.00_ ;_ &quot;R$&quot;\ * &quot;-&quot;??_ ;_ @_ "/>
    <numFmt numFmtId="167" formatCode="_ * #,##0.00_ ;_ * \-#,##0.00_ ;_ * &quot;-&quot;??_ ;_ @_ "/>
    <numFmt numFmtId="168" formatCode="0.0%"/>
    <numFmt numFmtId="169" formatCode="0.000"/>
    <numFmt numFmtId="170" formatCode="_(* #,##0.00_);_(* \(#,##0.00\);_(* \-??_);_(@_)"/>
    <numFmt numFmtId="171" formatCode="0000"/>
    <numFmt numFmtId="172" formatCode="&quot;R$&quot;\ #,##0.00"/>
    <numFmt numFmtId="173" formatCode="0.0000"/>
    <numFmt numFmtId="174" formatCode="0.0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sz val="8"/>
      <color rgb="FFFF0000"/>
      <name val="Calibri"/>
      <family val="2"/>
    </font>
    <font>
      <b/>
      <sz val="8"/>
      <color rgb="FFFF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u/>
      <sz val="8"/>
      <name val="Calibri"/>
      <family val="2"/>
    </font>
    <font>
      <b/>
      <u/>
      <sz val="10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</font>
    <font>
      <b/>
      <u/>
      <sz val="14"/>
      <color theme="1"/>
      <name val="Calibri"/>
      <family val="2"/>
    </font>
    <font>
      <b/>
      <u/>
      <sz val="8"/>
      <color theme="1"/>
      <name val="Calibri"/>
      <family val="2"/>
    </font>
    <font>
      <sz val="8"/>
      <color theme="1"/>
      <name val="Calibri"/>
      <family val="2"/>
    </font>
    <font>
      <b/>
      <u/>
      <sz val="12"/>
      <name val="Calibri"/>
      <family val="2"/>
    </font>
    <font>
      <b/>
      <u/>
      <sz val="14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i/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2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u/>
      <sz val="11"/>
      <color rgb="FFFF0000"/>
      <name val="Calibri"/>
      <family val="2"/>
    </font>
    <font>
      <sz val="9"/>
      <color rgb="FFFF0000"/>
      <name val="Calibri"/>
      <family val="2"/>
    </font>
    <font>
      <b/>
      <sz val="12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5"/>
      <name val="Calibri"/>
      <family val="2"/>
    </font>
    <font>
      <b/>
      <i/>
      <sz val="8"/>
      <name val="Calibri"/>
      <family val="2"/>
    </font>
    <font>
      <i/>
      <sz val="8"/>
      <name val="Calibri"/>
      <family val="2"/>
    </font>
    <font>
      <b/>
      <sz val="5"/>
      <name val="Calibri"/>
      <family val="2"/>
    </font>
    <font>
      <sz val="5"/>
      <name val="Calibri"/>
      <family val="2"/>
    </font>
    <font>
      <b/>
      <i/>
      <sz val="9"/>
      <name val="Calibri"/>
      <family val="2"/>
    </font>
    <font>
      <sz val="7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6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0" fontId="1" fillId="0" borderId="0"/>
    <xf numFmtId="170" fontId="2" fillId="0" borderId="0" applyFill="0" applyBorder="0" applyAlignment="0" applyProtection="0"/>
    <xf numFmtId="0" fontId="8" fillId="0" borderId="0"/>
    <xf numFmtId="170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2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312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0" fillId="0" borderId="0" xfId="2" applyFont="1" applyAlignment="1">
      <alignment horizontal="center" vertical="top"/>
    </xf>
    <xf numFmtId="0" fontId="7" fillId="0" borderId="0" xfId="2" applyFont="1" applyAlignment="1">
      <alignment horizontal="right" vertical="justify"/>
    </xf>
    <xf numFmtId="0" fontId="7" fillId="0" borderId="0" xfId="2" applyFont="1" applyAlignment="1">
      <alignment horizontal="center"/>
    </xf>
    <xf numFmtId="4" fontId="7" fillId="0" borderId="0" xfId="2" applyNumberFormat="1" applyFont="1" applyAlignment="1">
      <alignment horizontal="center"/>
    </xf>
    <xf numFmtId="0" fontId="12" fillId="0" borderId="0" xfId="0" applyFont="1"/>
    <xf numFmtId="0" fontId="7" fillId="0" borderId="0" xfId="0" applyFont="1"/>
    <xf numFmtId="4" fontId="7" fillId="0" borderId="0" xfId="0" applyNumberFormat="1" applyFont="1"/>
    <xf numFmtId="0" fontId="10" fillId="0" borderId="0" xfId="2" applyFont="1" applyAlignment="1">
      <alignment horizontal="center"/>
    </xf>
    <xf numFmtId="4" fontId="10" fillId="0" borderId="0" xfId="2" applyNumberFormat="1" applyFont="1" applyAlignment="1">
      <alignment horizontal="center"/>
    </xf>
    <xf numFmtId="4" fontId="10" fillId="2" borderId="1" xfId="2" applyNumberFormat="1" applyFont="1" applyFill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left" wrapText="1"/>
    </xf>
    <xf numFmtId="0" fontId="15" fillId="0" borderId="0" xfId="0" applyFont="1"/>
    <xf numFmtId="4" fontId="14" fillId="0" borderId="0" xfId="2" applyNumberFormat="1" applyFont="1" applyAlignment="1">
      <alignment horizontal="center"/>
    </xf>
    <xf numFmtId="10" fontId="10" fillId="2" borderId="1" xfId="1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top"/>
    </xf>
    <xf numFmtId="0" fontId="10" fillId="2" borderId="28" xfId="2" applyFont="1" applyFill="1" applyBorder="1" applyAlignment="1">
      <alignment horizontal="center" vertical="center"/>
    </xf>
    <xf numFmtId="0" fontId="10" fillId="2" borderId="29" xfId="2" applyFont="1" applyFill="1" applyBorder="1" applyAlignment="1">
      <alignment horizontal="center" vertical="center"/>
    </xf>
    <xf numFmtId="4" fontId="10" fillId="2" borderId="30" xfId="2" applyNumberFormat="1" applyFont="1" applyFill="1" applyBorder="1" applyAlignment="1">
      <alignment horizontal="center" vertical="center"/>
    </xf>
    <xf numFmtId="4" fontId="10" fillId="2" borderId="29" xfId="2" applyNumberFormat="1" applyFont="1" applyFill="1" applyBorder="1" applyAlignment="1">
      <alignment horizontal="center" vertical="center" wrapText="1"/>
    </xf>
    <xf numFmtId="4" fontId="10" fillId="2" borderId="30" xfId="2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3" fillId="0" borderId="25" xfId="2" applyFont="1" applyBorder="1" applyAlignment="1">
      <alignment horizontal="center" vertical="top"/>
    </xf>
    <xf numFmtId="0" fontId="13" fillId="0" borderId="26" xfId="2" applyFont="1" applyBorder="1" applyAlignment="1">
      <alignment horizontal="center" vertical="top"/>
    </xf>
    <xf numFmtId="0" fontId="13" fillId="0" borderId="26" xfId="2" applyFont="1" applyBorder="1" applyAlignment="1">
      <alignment horizontal="center" vertical="justify"/>
    </xf>
    <xf numFmtId="0" fontId="13" fillId="0" borderId="26" xfId="2" applyFont="1" applyBorder="1" applyAlignment="1">
      <alignment horizontal="center"/>
    </xf>
    <xf numFmtId="4" fontId="12" fillId="0" borderId="27" xfId="2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16" borderId="23" xfId="2" applyFont="1" applyFill="1" applyBorder="1" applyAlignment="1">
      <alignment horizontal="center" vertical="top"/>
    </xf>
    <xf numFmtId="0" fontId="10" fillId="16" borderId="1" xfId="2" applyFont="1" applyFill="1" applyBorder="1" applyAlignment="1">
      <alignment horizontal="center" vertical="top"/>
    </xf>
    <xf numFmtId="0" fontId="10" fillId="16" borderId="1" xfId="2" applyFont="1" applyFill="1" applyBorder="1" applyAlignment="1">
      <alignment horizontal="left" vertical="justify"/>
    </xf>
    <xf numFmtId="0" fontId="10" fillId="16" borderId="1" xfId="2" applyFont="1" applyFill="1" applyBorder="1" applyAlignment="1">
      <alignment horizontal="center"/>
    </xf>
    <xf numFmtId="4" fontId="7" fillId="16" borderId="24" xfId="2" applyNumberFormat="1" applyFont="1" applyFill="1" applyBorder="1" applyAlignment="1">
      <alignment horizontal="center"/>
    </xf>
    <xf numFmtId="4" fontId="7" fillId="16" borderId="23" xfId="2" applyNumberFormat="1" applyFont="1" applyFill="1" applyBorder="1" applyAlignment="1">
      <alignment horizontal="center"/>
    </xf>
    <xf numFmtId="4" fontId="7" fillId="16" borderId="1" xfId="2" applyNumberFormat="1" applyFont="1" applyFill="1" applyBorder="1" applyAlignment="1">
      <alignment horizontal="center"/>
    </xf>
    <xf numFmtId="4" fontId="10" fillId="16" borderId="24" xfId="2" applyNumberFormat="1" applyFont="1" applyFill="1" applyBorder="1" applyAlignment="1">
      <alignment horizontal="center"/>
    </xf>
    <xf numFmtId="0" fontId="10" fillId="16" borderId="0" xfId="0" quotePrefix="1" applyFont="1" applyFill="1"/>
    <xf numFmtId="10" fontId="10" fillId="16" borderId="0" xfId="1" applyNumberFormat="1" applyFont="1" applyFill="1" applyBorder="1" applyAlignment="1">
      <alignment horizontal="left"/>
    </xf>
    <xf numFmtId="0" fontId="7" fillId="16" borderId="0" xfId="0" applyFont="1" applyFill="1"/>
    <xf numFmtId="0" fontId="7" fillId="10" borderId="0" xfId="0" applyFont="1" applyFill="1"/>
    <xf numFmtId="0" fontId="10" fillId="0" borderId="23" xfId="2" applyFont="1" applyBorder="1" applyAlignment="1">
      <alignment horizontal="center" vertical="top"/>
    </xf>
    <xf numFmtId="0" fontId="10" fillId="0" borderId="1" xfId="2" applyFont="1" applyBorder="1" applyAlignment="1">
      <alignment horizontal="center" vertical="top"/>
    </xf>
    <xf numFmtId="0" fontId="10" fillId="0" borderId="1" xfId="2" applyFont="1" applyBorder="1" applyAlignment="1">
      <alignment horizontal="left" vertical="justify"/>
    </xf>
    <xf numFmtId="0" fontId="10" fillId="0" borderId="1" xfId="2" applyFont="1" applyBorder="1" applyAlignment="1">
      <alignment horizontal="center"/>
    </xf>
    <xf numFmtId="4" fontId="7" fillId="0" borderId="24" xfId="2" applyNumberFormat="1" applyFont="1" applyBorder="1" applyAlignment="1">
      <alignment horizontal="center"/>
    </xf>
    <xf numFmtId="4" fontId="7" fillId="0" borderId="23" xfId="2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2" borderId="23" xfId="2" applyNumberFormat="1" applyFont="1" applyFill="1" applyBorder="1" applyAlignment="1">
      <alignment horizontal="center"/>
    </xf>
    <xf numFmtId="0" fontId="12" fillId="2" borderId="0" xfId="0" applyFont="1" applyFill="1"/>
    <xf numFmtId="0" fontId="12" fillId="16" borderId="0" xfId="0" applyFont="1" applyFill="1"/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13" fillId="10" borderId="0" xfId="0" quotePrefix="1" applyFont="1" applyFill="1"/>
    <xf numFmtId="10" fontId="13" fillId="10" borderId="0" xfId="1" applyNumberFormat="1" applyFont="1" applyFill="1" applyBorder="1" applyAlignment="1">
      <alignment horizontal="left"/>
    </xf>
    <xf numFmtId="0" fontId="13" fillId="8" borderId="0" xfId="0" applyFont="1" applyFill="1"/>
    <xf numFmtId="43" fontId="7" fillId="0" borderId="0" xfId="12" applyFont="1" applyFill="1" applyBorder="1" applyAlignment="1">
      <alignment horizontal="center"/>
    </xf>
    <xf numFmtId="4" fontId="14" fillId="0" borderId="0" xfId="2" applyNumberFormat="1" applyFont="1" applyAlignment="1">
      <alignment horizontal="left" wrapText="1"/>
    </xf>
    <xf numFmtId="4" fontId="10" fillId="2" borderId="28" xfId="2" applyNumberFormat="1" applyFont="1" applyFill="1" applyBorder="1" applyAlignment="1">
      <alignment horizontal="center" vertical="center" wrapText="1"/>
    </xf>
    <xf numFmtId="4" fontId="7" fillId="0" borderId="25" xfId="2" applyNumberFormat="1" applyFont="1" applyBorder="1" applyAlignment="1">
      <alignment horizontal="center"/>
    </xf>
    <xf numFmtId="4" fontId="7" fillId="0" borderId="26" xfId="2" applyNumberFormat="1" applyFont="1" applyBorder="1" applyAlignment="1">
      <alignment horizontal="center"/>
    </xf>
    <xf numFmtId="4" fontId="7" fillId="0" borderId="27" xfId="2" applyNumberFormat="1" applyFont="1" applyBorder="1" applyAlignment="1">
      <alignment horizontal="center"/>
    </xf>
    <xf numFmtId="4" fontId="7" fillId="16" borderId="23" xfId="2" applyNumberFormat="1" applyFont="1" applyFill="1" applyBorder="1" applyAlignment="1">
      <alignment horizontal="left"/>
    </xf>
    <xf numFmtId="43" fontId="7" fillId="0" borderId="0" xfId="12" applyFont="1" applyFill="1" applyBorder="1"/>
    <xf numFmtId="4" fontId="18" fillId="8" borderId="1" xfId="2" applyNumberFormat="1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25" fillId="0" borderId="0" xfId="0" applyFont="1" applyAlignment="1">
      <alignment horizontal="center" wrapText="1"/>
    </xf>
    <xf numFmtId="0" fontId="26" fillId="0" borderId="0" xfId="0" applyFont="1"/>
    <xf numFmtId="0" fontId="26" fillId="0" borderId="0" xfId="0" applyFont="1" applyAlignment="1">
      <alignment horizontal="center"/>
    </xf>
    <xf numFmtId="0" fontId="27" fillId="6" borderId="6" xfId="0" applyFont="1" applyFill="1" applyBorder="1"/>
    <xf numFmtId="0" fontId="27" fillId="6" borderId="6" xfId="0" applyFont="1" applyFill="1" applyBorder="1" applyAlignment="1">
      <alignment horizontal="center"/>
    </xf>
    <xf numFmtId="0" fontId="26" fillId="0" borderId="6" xfId="0" applyFont="1" applyBorder="1" applyAlignment="1">
      <alignment horizontal="lef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10" fontId="18" fillId="5" borderId="6" xfId="1" applyNumberFormat="1" applyFont="1" applyFill="1" applyBorder="1" applyAlignment="1">
      <alignment horizontal="center"/>
    </xf>
    <xf numFmtId="0" fontId="19" fillId="0" borderId="6" xfId="0" applyFont="1" applyBorder="1"/>
    <xf numFmtId="2" fontId="28" fillId="0" borderId="6" xfId="0" applyNumberFormat="1" applyFont="1" applyBorder="1" applyAlignment="1">
      <alignment horizontal="center"/>
    </xf>
    <xf numFmtId="10" fontId="28" fillId="0" borderId="6" xfId="1" applyNumberFormat="1" applyFont="1" applyBorder="1" applyAlignment="1">
      <alignment horizontal="center"/>
    </xf>
    <xf numFmtId="0" fontId="27" fillId="0" borderId="6" xfId="19" applyFont="1" applyBorder="1"/>
    <xf numFmtId="0" fontId="27" fillId="0" borderId="6" xfId="19" applyFont="1" applyBorder="1" applyAlignment="1">
      <alignment horizontal="center"/>
    </xf>
    <xf numFmtId="10" fontId="18" fillId="5" borderId="6" xfId="26" applyNumberFormat="1" applyFont="1" applyFill="1" applyBorder="1" applyAlignment="1">
      <alignment horizontal="center"/>
    </xf>
    <xf numFmtId="0" fontId="19" fillId="0" borderId="6" xfId="0" applyFont="1" applyBorder="1" applyAlignment="1">
      <alignment vertical="center"/>
    </xf>
    <xf numFmtId="10" fontId="18" fillId="0" borderId="6" xfId="1" applyNumberFormat="1" applyFont="1" applyBorder="1" applyAlignment="1">
      <alignment horizontal="center"/>
    </xf>
    <xf numFmtId="169" fontId="29" fillId="0" borderId="0" xfId="0" applyNumberFormat="1" applyFont="1" applyAlignment="1">
      <alignment horizontal="left"/>
    </xf>
    <xf numFmtId="10" fontId="18" fillId="0" borderId="7" xfId="1" applyNumberFormat="1" applyFont="1" applyFill="1" applyBorder="1" applyAlignment="1">
      <alignment horizontal="center"/>
    </xf>
    <xf numFmtId="0" fontId="27" fillId="6" borderId="8" xfId="0" applyFont="1" applyFill="1" applyBorder="1"/>
    <xf numFmtId="0" fontId="30" fillId="6" borderId="9" xfId="0" applyFont="1" applyFill="1" applyBorder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/>
    <xf numFmtId="0" fontId="30" fillId="0" borderId="10" xfId="0" applyFont="1" applyBorder="1"/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/>
    <xf numFmtId="0" fontId="30" fillId="0" borderId="13" xfId="0" applyFont="1" applyBorder="1"/>
    <xf numFmtId="0" fontId="30" fillId="0" borderId="0" xfId="0" applyFont="1" applyAlignment="1">
      <alignment horizontal="center"/>
    </xf>
    <xf numFmtId="0" fontId="30" fillId="0" borderId="14" xfId="0" applyFont="1" applyBorder="1" applyAlignment="1">
      <alignment horizontal="center"/>
    </xf>
    <xf numFmtId="0" fontId="34" fillId="0" borderId="13" xfId="0" applyFont="1" applyBorder="1"/>
    <xf numFmtId="0" fontId="34" fillId="0" borderId="0" xfId="0" applyFont="1" applyAlignment="1">
      <alignment horizontal="center"/>
    </xf>
    <xf numFmtId="0" fontId="34" fillId="0" borderId="14" xfId="0" applyFont="1" applyBorder="1" applyAlignment="1">
      <alignment horizontal="center"/>
    </xf>
    <xf numFmtId="0" fontId="34" fillId="0" borderId="0" xfId="0" applyFont="1"/>
    <xf numFmtId="0" fontId="34" fillId="0" borderId="15" xfId="0" applyFont="1" applyBorder="1"/>
    <xf numFmtId="0" fontId="34" fillId="0" borderId="16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18" fillId="0" borderId="0" xfId="0" applyFont="1"/>
    <xf numFmtId="0" fontId="35" fillId="0" borderId="0" xfId="0" applyFont="1" applyAlignment="1">
      <alignment horizontal="center"/>
    </xf>
    <xf numFmtId="0" fontId="34" fillId="0" borderId="0" xfId="6" applyFont="1"/>
    <xf numFmtId="0" fontId="37" fillId="0" borderId="6" xfId="0" applyFont="1" applyBorder="1" applyAlignment="1">
      <alignment wrapText="1"/>
    </xf>
    <xf numFmtId="0" fontId="10" fillId="0" borderId="0" xfId="2" applyFont="1" applyAlignment="1">
      <alignment horizontal="center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left" vertical="center"/>
    </xf>
    <xf numFmtId="0" fontId="32" fillId="0" borderId="0" xfId="0" applyFont="1"/>
    <xf numFmtId="0" fontId="10" fillId="2" borderId="0" xfId="0" applyFont="1" applyFill="1" applyAlignment="1">
      <alignment horizontal="center"/>
    </xf>
    <xf numFmtId="0" fontId="7" fillId="11" borderId="6" xfId="40" applyFont="1" applyFill="1" applyBorder="1" applyAlignment="1">
      <alignment horizontal="center" vertical="center" wrapText="1"/>
    </xf>
    <xf numFmtId="165" fontId="10" fillId="9" borderId="26" xfId="9" applyFont="1" applyFill="1" applyBorder="1" applyAlignment="1">
      <alignment horizontal="right" vertical="distributed" wrapText="1"/>
    </xf>
    <xf numFmtId="165" fontId="10" fillId="9" borderId="1" xfId="9" applyFont="1" applyFill="1" applyBorder="1" applyAlignment="1">
      <alignment horizontal="right" vertical="distributed" wrapText="1"/>
    </xf>
    <xf numFmtId="2" fontId="10" fillId="9" borderId="32" xfId="9" applyNumberFormat="1" applyFont="1" applyFill="1" applyBorder="1" applyAlignment="1">
      <alignment horizontal="center" vertical="distributed" wrapText="1"/>
    </xf>
    <xf numFmtId="172" fontId="7" fillId="0" borderId="0" xfId="0" applyNumberFormat="1" applyFont="1"/>
    <xf numFmtId="171" fontId="40" fillId="9" borderId="1" xfId="9" applyNumberFormat="1" applyFont="1" applyFill="1" applyBorder="1" applyAlignment="1">
      <alignment horizontal="justify" vertical="distributed" wrapText="1"/>
    </xf>
    <xf numFmtId="165" fontId="39" fillId="9" borderId="1" xfId="9" applyFont="1" applyFill="1" applyBorder="1" applyAlignment="1">
      <alignment horizontal="justify" vertical="distributed" wrapText="1"/>
    </xf>
    <xf numFmtId="165" fontId="39" fillId="9" borderId="32" xfId="9" applyFont="1" applyFill="1" applyBorder="1" applyAlignment="1">
      <alignment horizontal="justify" vertical="distributed" wrapText="1"/>
    </xf>
    <xf numFmtId="165" fontId="39" fillId="9" borderId="40" xfId="9" applyFont="1" applyFill="1" applyBorder="1" applyAlignment="1">
      <alignment vertical="distributed" wrapText="1"/>
    </xf>
    <xf numFmtId="0" fontId="40" fillId="0" borderId="0" xfId="0" applyFont="1"/>
    <xf numFmtId="171" fontId="10" fillId="2" borderId="1" xfId="9" applyNumberFormat="1" applyFont="1" applyFill="1" applyBorder="1" applyAlignment="1">
      <alignment horizontal="center" vertical="center" wrapText="1"/>
    </xf>
    <xf numFmtId="165" fontId="10" fillId="2" borderId="1" xfId="9" applyFont="1" applyFill="1" applyBorder="1" applyAlignment="1">
      <alignment horizontal="center" vertical="center" wrapText="1"/>
    </xf>
    <xf numFmtId="165" fontId="10" fillId="2" borderId="32" xfId="9" applyFont="1" applyFill="1" applyBorder="1" applyAlignment="1">
      <alignment horizontal="center" vertical="center" wrapText="1"/>
    </xf>
    <xf numFmtId="165" fontId="10" fillId="14" borderId="39" xfId="9" applyFont="1" applyFill="1" applyBorder="1" applyAlignment="1">
      <alignment horizontal="center" vertical="center" wrapText="1"/>
    </xf>
    <xf numFmtId="165" fontId="10" fillId="2" borderId="40" xfId="9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7" fillId="9" borderId="1" xfId="9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7" fillId="0" borderId="32" xfId="0" applyFont="1" applyBorder="1" applyAlignment="1">
      <alignment horizontal="center" vertical="distributed"/>
    </xf>
    <xf numFmtId="173" fontId="7" fillId="15" borderId="39" xfId="41" applyNumberFormat="1" applyFont="1" applyFill="1" applyBorder="1" applyAlignment="1">
      <alignment horizontal="center" vertical="distributed" wrapText="1"/>
    </xf>
    <xf numFmtId="0" fontId="7" fillId="6" borderId="39" xfId="9" applyNumberFormat="1" applyFont="1" applyFill="1" applyBorder="1" applyAlignment="1">
      <alignment horizontal="center" vertical="distributed" wrapText="1"/>
    </xf>
    <xf numFmtId="2" fontId="7" fillId="6" borderId="39" xfId="9" applyNumberFormat="1" applyFont="1" applyFill="1" applyBorder="1" applyAlignment="1">
      <alignment horizontal="center" vertical="distributed" wrapText="1"/>
    </xf>
    <xf numFmtId="49" fontId="7" fillId="9" borderId="1" xfId="9" quotePrefix="1" applyNumberFormat="1" applyFont="1" applyFill="1" applyBorder="1" applyAlignment="1">
      <alignment horizontal="center" vertical="center" wrapText="1"/>
    </xf>
    <xf numFmtId="44" fontId="7" fillId="0" borderId="0" xfId="82" applyFont="1"/>
    <xf numFmtId="0" fontId="7" fillId="0" borderId="1" xfId="0" applyFont="1" applyBorder="1"/>
    <xf numFmtId="165" fontId="14" fillId="14" borderId="6" xfId="9" applyFont="1" applyFill="1" applyBorder="1" applyAlignment="1">
      <alignment horizontal="center" vertical="distributed" wrapText="1"/>
    </xf>
    <xf numFmtId="44" fontId="7" fillId="0" borderId="0" xfId="15" applyFont="1" applyBorder="1"/>
    <xf numFmtId="0" fontId="7" fillId="0" borderId="31" xfId="0" applyFont="1" applyBorder="1"/>
    <xf numFmtId="0" fontId="12" fillId="0" borderId="41" xfId="0" applyFont="1" applyBorder="1"/>
    <xf numFmtId="0" fontId="7" fillId="0" borderId="41" xfId="0" applyFont="1" applyBorder="1"/>
    <xf numFmtId="165" fontId="10" fillId="4" borderId="40" xfId="9" applyFont="1" applyFill="1" applyBorder="1" applyAlignment="1">
      <alignment horizontal="center" vertical="center" wrapText="1"/>
    </xf>
    <xf numFmtId="165" fontId="10" fillId="3" borderId="5" xfId="9" applyFont="1" applyFill="1" applyBorder="1" applyAlignment="1">
      <alignment horizontal="center" vertical="center" wrapText="1"/>
    </xf>
    <xf numFmtId="49" fontId="7" fillId="9" borderId="1" xfId="59" quotePrefix="1" applyNumberFormat="1" applyFont="1" applyFill="1" applyBorder="1" applyAlignment="1">
      <alignment horizontal="center" vertical="center" wrapText="1"/>
    </xf>
    <xf numFmtId="174" fontId="7" fillId="15" borderId="39" xfId="41" applyNumberFormat="1" applyFont="1" applyFill="1" applyBorder="1" applyAlignment="1">
      <alignment horizontal="center" vertical="distributed" wrapText="1"/>
    </xf>
    <xf numFmtId="0" fontId="7" fillId="12" borderId="39" xfId="9" applyNumberFormat="1" applyFont="1" applyFill="1" applyBorder="1" applyAlignment="1" applyProtection="1">
      <alignment horizontal="center" vertical="center"/>
      <protection locked="0"/>
    </xf>
    <xf numFmtId="0" fontId="7" fillId="6" borderId="19" xfId="9" applyNumberFormat="1" applyFont="1" applyFill="1" applyBorder="1" applyAlignment="1">
      <alignment horizontal="center" vertical="distributed" wrapText="1"/>
    </xf>
    <xf numFmtId="2" fontId="7" fillId="13" borderId="39" xfId="9" applyNumberFormat="1" applyFont="1" applyFill="1" applyBorder="1" applyAlignment="1" applyProtection="1">
      <alignment horizontal="center" vertical="center"/>
      <protection locked="0"/>
    </xf>
    <xf numFmtId="0" fontId="7" fillId="13" borderId="39" xfId="9" applyNumberFormat="1" applyFont="1" applyFill="1" applyBorder="1" applyAlignment="1" applyProtection="1">
      <alignment horizontal="center" vertical="center"/>
      <protection locked="0"/>
    </xf>
    <xf numFmtId="0" fontId="7" fillId="13" borderId="19" xfId="9" applyNumberFormat="1" applyFont="1" applyFill="1" applyBorder="1" applyAlignment="1" applyProtection="1">
      <alignment horizontal="center" vertical="center"/>
      <protection locked="0"/>
    </xf>
    <xf numFmtId="165" fontId="10" fillId="2" borderId="5" xfId="9" applyFont="1" applyFill="1" applyBorder="1" applyAlignment="1">
      <alignment horizontal="center" vertical="center" wrapText="1"/>
    </xf>
    <xf numFmtId="165" fontId="10" fillId="3" borderId="40" xfId="9" applyFont="1" applyFill="1" applyBorder="1" applyAlignment="1">
      <alignment horizontal="center" vertical="center" wrapText="1"/>
    </xf>
    <xf numFmtId="49" fontId="7" fillId="9" borderId="45" xfId="59" applyNumberFormat="1" applyFont="1" applyFill="1" applyBorder="1" applyAlignment="1">
      <alignment horizontal="center" vertical="center" wrapText="1"/>
    </xf>
    <xf numFmtId="0" fontId="7" fillId="0" borderId="18" xfId="0" applyFont="1" applyBorder="1"/>
    <xf numFmtId="0" fontId="7" fillId="0" borderId="44" xfId="0" applyFont="1" applyBorder="1"/>
    <xf numFmtId="49" fontId="7" fillId="9" borderId="45" xfId="9" applyNumberFormat="1" applyFont="1" applyFill="1" applyBorder="1" applyAlignment="1">
      <alignment horizontal="center" vertical="center" wrapText="1"/>
    </xf>
    <xf numFmtId="172" fontId="15" fillId="0" borderId="0" xfId="0" applyNumberFormat="1" applyFont="1"/>
    <xf numFmtId="171" fontId="40" fillId="9" borderId="45" xfId="9" applyNumberFormat="1" applyFont="1" applyFill="1" applyBorder="1" applyAlignment="1">
      <alignment horizontal="justify" vertical="distributed" wrapText="1"/>
    </xf>
    <xf numFmtId="165" fontId="39" fillId="9" borderId="39" xfId="9" applyFont="1" applyFill="1" applyBorder="1" applyAlignment="1">
      <alignment vertical="distributed" wrapText="1"/>
    </xf>
    <xf numFmtId="171" fontId="10" fillId="2" borderId="45" xfId="9" applyNumberFormat="1" applyFont="1" applyFill="1" applyBorder="1" applyAlignment="1">
      <alignment horizontal="center" vertical="center" wrapText="1"/>
    </xf>
    <xf numFmtId="165" fontId="10" fillId="4" borderId="48" xfId="9" applyFont="1" applyFill="1" applyBorder="1" applyAlignment="1">
      <alignment horizontal="center" vertical="center" wrapText="1"/>
    </xf>
    <xf numFmtId="165" fontId="10" fillId="2" borderId="6" xfId="9" applyFont="1" applyFill="1" applyBorder="1" applyAlignment="1">
      <alignment horizontal="center" vertical="center" wrapText="1"/>
    </xf>
    <xf numFmtId="165" fontId="10" fillId="3" borderId="48" xfId="9" applyFont="1" applyFill="1" applyBorder="1" applyAlignment="1">
      <alignment horizontal="center" vertical="center" wrapText="1"/>
    </xf>
    <xf numFmtId="165" fontId="10" fillId="2" borderId="48" xfId="9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2" fontId="7" fillId="12" borderId="39" xfId="9" applyNumberFormat="1" applyFont="1" applyFill="1" applyBorder="1" applyAlignment="1" applyProtection="1">
      <alignment horizontal="center" vertical="center"/>
      <protection locked="0"/>
    </xf>
    <xf numFmtId="0" fontId="7" fillId="0" borderId="36" xfId="0" applyFont="1" applyBorder="1"/>
    <xf numFmtId="0" fontId="7" fillId="0" borderId="37" xfId="0" applyFont="1" applyBorder="1"/>
    <xf numFmtId="0" fontId="7" fillId="0" borderId="49" xfId="0" applyFont="1" applyBorder="1"/>
    <xf numFmtId="165" fontId="14" fillId="4" borderId="6" xfId="9" applyFont="1" applyFill="1" applyBorder="1" applyAlignment="1">
      <alignment horizontal="center" vertical="distributed" wrapText="1"/>
    </xf>
    <xf numFmtId="165" fontId="14" fillId="12" borderId="6" xfId="9" applyFont="1" applyFill="1" applyBorder="1" applyAlignment="1">
      <alignment horizontal="center" vertical="distributed" wrapText="1"/>
    </xf>
    <xf numFmtId="165" fontId="14" fillId="3" borderId="6" xfId="9" applyFont="1" applyFill="1" applyBorder="1" applyAlignment="1">
      <alignment horizontal="center" vertical="distributed" wrapText="1"/>
    </xf>
    <xf numFmtId="165" fontId="14" fillId="13" borderId="6" xfId="9" applyFont="1" applyFill="1" applyBorder="1" applyAlignment="1">
      <alignment horizontal="center" vertical="distributed" wrapText="1"/>
    </xf>
    <xf numFmtId="165" fontId="12" fillId="0" borderId="0" xfId="0" applyNumberFormat="1" applyFont="1"/>
    <xf numFmtId="0" fontId="10" fillId="0" borderId="1" xfId="2" quotePrefix="1" applyFont="1" applyBorder="1" applyAlignment="1">
      <alignment horizontal="center" vertical="top"/>
    </xf>
    <xf numFmtId="0" fontId="10" fillId="0" borderId="1" xfId="2" applyFont="1" applyBorder="1" applyAlignment="1">
      <alignment horizontal="justify" vertical="justify"/>
    </xf>
    <xf numFmtId="0" fontId="10" fillId="0" borderId="1" xfId="2" applyFont="1" applyBorder="1" applyAlignment="1">
      <alignment horizontal="justify" vertical="justify" wrapText="1"/>
    </xf>
    <xf numFmtId="0" fontId="10" fillId="0" borderId="1" xfId="2" applyFont="1" applyBorder="1" applyAlignment="1">
      <alignment horizontal="center" vertical="top" wrapText="1"/>
    </xf>
    <xf numFmtId="0" fontId="10" fillId="0" borderId="1" xfId="2" quotePrefix="1" applyFont="1" applyBorder="1" applyAlignment="1">
      <alignment horizontal="center" vertical="top" wrapText="1"/>
    </xf>
    <xf numFmtId="4" fontId="10" fillId="18" borderId="28" xfId="2" applyNumberFormat="1" applyFont="1" applyFill="1" applyBorder="1" applyAlignment="1">
      <alignment horizontal="left"/>
    </xf>
    <xf numFmtId="4" fontId="10" fillId="18" borderId="29" xfId="2" applyNumberFormat="1" applyFont="1" applyFill="1" applyBorder="1" applyAlignment="1">
      <alignment horizontal="center"/>
    </xf>
    <xf numFmtId="4" fontId="11" fillId="18" borderId="30" xfId="2" applyNumberFormat="1" applyFont="1" applyFill="1" applyBorder="1" applyAlignment="1">
      <alignment horizontal="center" vertical="center"/>
    </xf>
    <xf numFmtId="0" fontId="7" fillId="18" borderId="0" xfId="0" applyFont="1" applyFill="1"/>
    <xf numFmtId="0" fontId="10" fillId="0" borderId="0" xfId="2" applyFont="1" applyAlignment="1">
      <alignment horizontal="left" vertical="justify"/>
    </xf>
    <xf numFmtId="0" fontId="15" fillId="16" borderId="0" xfId="0" applyFont="1" applyFill="1"/>
    <xf numFmtId="0" fontId="10" fillId="5" borderId="0" xfId="0" applyFont="1" applyFill="1" applyAlignment="1">
      <alignment horizontal="center"/>
    </xf>
    <xf numFmtId="0" fontId="10" fillId="16" borderId="8" xfId="2" applyFont="1" applyFill="1" applyBorder="1" applyAlignment="1">
      <alignment horizontal="left" vertical="justify"/>
    </xf>
    <xf numFmtId="4" fontId="10" fillId="16" borderId="6" xfId="2" applyNumberFormat="1" applyFont="1" applyFill="1" applyBorder="1" applyAlignment="1">
      <alignment horizontal="center"/>
    </xf>
    <xf numFmtId="4" fontId="10" fillId="16" borderId="8" xfId="2" applyNumberFormat="1" applyFont="1" applyFill="1" applyBorder="1" applyAlignment="1">
      <alignment horizontal="center"/>
    </xf>
    <xf numFmtId="43" fontId="10" fillId="16" borderId="1" xfId="2" applyNumberFormat="1" applyFont="1" applyFill="1" applyBorder="1" applyAlignment="1">
      <alignment horizontal="center"/>
    </xf>
    <xf numFmtId="10" fontId="42" fillId="16" borderId="6" xfId="1" applyNumberFormat="1" applyFont="1" applyFill="1" applyBorder="1" applyAlignment="1">
      <alignment horizontal="center"/>
    </xf>
    <xf numFmtId="10" fontId="43" fillId="7" borderId="8" xfId="1" applyNumberFormat="1" applyFont="1" applyFill="1" applyBorder="1" applyAlignment="1">
      <alignment horizontal="center"/>
    </xf>
    <xf numFmtId="4" fontId="10" fillId="0" borderId="52" xfId="2" applyNumberFormat="1" applyFont="1" applyBorder="1" applyAlignment="1">
      <alignment horizontal="center"/>
    </xf>
    <xf numFmtId="0" fontId="44" fillId="0" borderId="52" xfId="2" applyFont="1" applyBorder="1" applyAlignment="1">
      <alignment horizontal="center"/>
    </xf>
    <xf numFmtId="4" fontId="44" fillId="0" borderId="42" xfId="2" applyNumberFormat="1" applyFont="1" applyBorder="1" applyAlignment="1">
      <alignment horizontal="center"/>
    </xf>
    <xf numFmtId="4" fontId="44" fillId="0" borderId="52" xfId="2" applyNumberFormat="1" applyFont="1" applyBorder="1" applyAlignment="1">
      <alignment horizontal="center"/>
    </xf>
    <xf numFmtId="0" fontId="45" fillId="0" borderId="0" xfId="0" applyFont="1"/>
    <xf numFmtId="10" fontId="43" fillId="0" borderId="52" xfId="1" applyNumberFormat="1" applyFont="1" applyFill="1" applyBorder="1" applyAlignment="1">
      <alignment horizontal="center"/>
    </xf>
    <xf numFmtId="4" fontId="44" fillId="0" borderId="50" xfId="2" applyNumberFormat="1" applyFont="1" applyBorder="1" applyAlignment="1">
      <alignment horizontal="center"/>
    </xf>
    <xf numFmtId="4" fontId="10" fillId="0" borderId="50" xfId="2" applyNumberFormat="1" applyFont="1" applyBorder="1" applyAlignment="1">
      <alignment horizontal="center"/>
    </xf>
    <xf numFmtId="10" fontId="43" fillId="7" borderId="6" xfId="1" applyNumberFormat="1" applyFont="1" applyFill="1" applyBorder="1" applyAlignment="1">
      <alignment horizontal="center"/>
    </xf>
    <xf numFmtId="0" fontId="44" fillId="0" borderId="53" xfId="2" applyFont="1" applyBorder="1" applyAlignment="1">
      <alignment horizontal="center"/>
    </xf>
    <xf numFmtId="10" fontId="42" fillId="16" borderId="8" xfId="1" applyNumberFormat="1" applyFont="1" applyFill="1" applyBorder="1" applyAlignment="1">
      <alignment horizontal="center"/>
    </xf>
    <xf numFmtId="10" fontId="43" fillId="0" borderId="0" xfId="1" applyNumberFormat="1" applyFont="1" applyFill="1" applyBorder="1" applyAlignment="1">
      <alignment horizontal="center"/>
    </xf>
    <xf numFmtId="4" fontId="10" fillId="0" borderId="43" xfId="2" applyNumberFormat="1" applyFont="1" applyBorder="1" applyAlignment="1">
      <alignment horizontal="center"/>
    </xf>
    <xf numFmtId="10" fontId="43" fillId="0" borderId="53" xfId="1" applyNumberFormat="1" applyFont="1" applyFill="1" applyBorder="1" applyAlignment="1">
      <alignment horizontal="center"/>
    </xf>
    <xf numFmtId="43" fontId="42" fillId="4" borderId="6" xfId="12" applyFont="1" applyFill="1" applyBorder="1" applyAlignment="1">
      <alignment horizontal="center"/>
    </xf>
    <xf numFmtId="168" fontId="46" fillId="4" borderId="6" xfId="1" applyNumberFormat="1" applyFont="1" applyFill="1" applyBorder="1" applyAlignment="1">
      <alignment horizontal="center"/>
    </xf>
    <xf numFmtId="10" fontId="43" fillId="0" borderId="51" xfId="1" applyNumberFormat="1" applyFont="1" applyFill="1" applyBorder="1" applyAlignment="1">
      <alignment horizontal="center"/>
    </xf>
    <xf numFmtId="0" fontId="10" fillId="0" borderId="51" xfId="0" applyFont="1" applyBorder="1"/>
    <xf numFmtId="0" fontId="39" fillId="2" borderId="0" xfId="0" applyFont="1" applyFill="1"/>
    <xf numFmtId="4" fontId="10" fillId="4" borderId="1" xfId="2" applyNumberFormat="1" applyFont="1" applyFill="1" applyBorder="1" applyAlignment="1">
      <alignment horizontal="center"/>
    </xf>
    <xf numFmtId="165" fontId="10" fillId="4" borderId="1" xfId="2" applyNumberFormat="1" applyFont="1" applyFill="1" applyBorder="1" applyAlignment="1">
      <alignment horizontal="center"/>
    </xf>
    <xf numFmtId="43" fontId="10" fillId="7" borderId="1" xfId="12" applyFont="1" applyFill="1" applyBorder="1" applyAlignment="1">
      <alignment horizontal="center"/>
    </xf>
    <xf numFmtId="43" fontId="47" fillId="0" borderId="0" xfId="0" applyNumberFormat="1" applyFont="1"/>
    <xf numFmtId="0" fontId="10" fillId="0" borderId="59" xfId="2" applyFont="1" applyBorder="1" applyAlignment="1">
      <alignment horizontal="right" vertical="top"/>
    </xf>
    <xf numFmtId="0" fontId="10" fillId="16" borderId="57" xfId="2" applyFont="1" applyFill="1" applyBorder="1" applyAlignment="1">
      <alignment horizontal="right" vertical="top"/>
    </xf>
    <xf numFmtId="4" fontId="10" fillId="0" borderId="60" xfId="2" applyNumberFormat="1" applyFont="1" applyBorder="1" applyAlignment="1">
      <alignment horizontal="center"/>
    </xf>
    <xf numFmtId="0" fontId="44" fillId="0" borderId="59" xfId="2" applyFont="1" applyBorder="1" applyAlignment="1">
      <alignment horizontal="right" vertical="top"/>
    </xf>
    <xf numFmtId="0" fontId="44" fillId="0" borderId="0" xfId="2" applyFont="1" applyAlignment="1">
      <alignment horizontal="left" vertical="justify"/>
    </xf>
    <xf numFmtId="4" fontId="44" fillId="0" borderId="60" xfId="2" applyNumberFormat="1" applyFont="1" applyBorder="1" applyAlignment="1">
      <alignment horizontal="center"/>
    </xf>
    <xf numFmtId="10" fontId="43" fillId="0" borderId="60" xfId="1" applyNumberFormat="1" applyFont="1" applyFill="1" applyBorder="1" applyAlignment="1">
      <alignment horizontal="center"/>
    </xf>
    <xf numFmtId="0" fontId="45" fillId="0" borderId="0" xfId="0" applyFont="1" applyAlignment="1">
      <alignment horizontal="left" vertical="top" wrapText="1"/>
    </xf>
    <xf numFmtId="4" fontId="10" fillId="16" borderId="58" xfId="2" applyNumberFormat="1" applyFont="1" applyFill="1" applyBorder="1" applyAlignment="1">
      <alignment horizontal="center"/>
    </xf>
    <xf numFmtId="10" fontId="43" fillId="7" borderId="58" xfId="1" applyNumberFormat="1" applyFont="1" applyFill="1" applyBorder="1" applyAlignment="1">
      <alignment horizontal="center"/>
    </xf>
    <xf numFmtId="0" fontId="10" fillId="0" borderId="59" xfId="2" applyFont="1" applyBorder="1" applyAlignment="1">
      <alignment horizontal="center" vertical="center"/>
    </xf>
    <xf numFmtId="10" fontId="43" fillId="0" borderId="61" xfId="1" applyNumberFormat="1" applyFont="1" applyFill="1" applyBorder="1" applyAlignment="1">
      <alignment horizontal="center"/>
    </xf>
    <xf numFmtId="43" fontId="42" fillId="4" borderId="58" xfId="12" applyFont="1" applyFill="1" applyBorder="1" applyAlignment="1">
      <alignment horizontal="center"/>
    </xf>
    <xf numFmtId="168" fontId="46" fillId="4" borderId="58" xfId="1" applyNumberFormat="1" applyFont="1" applyFill="1" applyBorder="1" applyAlignment="1">
      <alignment horizontal="center"/>
    </xf>
    <xf numFmtId="10" fontId="43" fillId="0" borderId="62" xfId="1" applyNumberFormat="1" applyFont="1" applyFill="1" applyBorder="1" applyAlignment="1">
      <alignment horizontal="center"/>
    </xf>
    <xf numFmtId="0" fontId="10" fillId="0" borderId="59" xfId="2" applyFont="1" applyBorder="1" applyAlignment="1">
      <alignment horizontal="center" vertical="top"/>
    </xf>
    <xf numFmtId="0" fontId="10" fillId="0" borderId="62" xfId="0" applyFont="1" applyBorder="1"/>
    <xf numFmtId="0" fontId="10" fillId="0" borderId="52" xfId="2" applyFont="1" applyBorder="1" applyAlignment="1">
      <alignment horizontal="center"/>
    </xf>
    <xf numFmtId="4" fontId="10" fillId="0" borderId="53" xfId="2" applyNumberFormat="1" applyFont="1" applyBorder="1" applyAlignment="1">
      <alignment horizontal="center"/>
    </xf>
    <xf numFmtId="4" fontId="10" fillId="2" borderId="64" xfId="2" applyNumberFormat="1" applyFont="1" applyFill="1" applyBorder="1" applyAlignment="1">
      <alignment horizontal="center"/>
    </xf>
    <xf numFmtId="4" fontId="10" fillId="2" borderId="65" xfId="2" applyNumberFormat="1" applyFont="1" applyFill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4" fontId="11" fillId="0" borderId="3" xfId="2" applyNumberFormat="1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4" fontId="10" fillId="17" borderId="20" xfId="2" applyNumberFormat="1" applyFont="1" applyFill="1" applyBorder="1" applyAlignment="1">
      <alignment horizontal="center" vertical="center" wrapText="1"/>
    </xf>
    <xf numFmtId="4" fontId="10" fillId="17" borderId="21" xfId="2" applyNumberFormat="1" applyFont="1" applyFill="1" applyBorder="1" applyAlignment="1">
      <alignment horizontal="center" vertical="center" wrapText="1"/>
    </xf>
    <xf numFmtId="4" fontId="10" fillId="17" borderId="22" xfId="2" applyNumberFormat="1" applyFont="1" applyFill="1" applyBorder="1" applyAlignment="1">
      <alignment horizontal="center" vertical="center" wrapText="1"/>
    </xf>
    <xf numFmtId="0" fontId="11" fillId="18" borderId="20" xfId="2" applyFont="1" applyFill="1" applyBorder="1" applyAlignment="1">
      <alignment horizontal="center" vertical="center" wrapText="1"/>
    </xf>
    <xf numFmtId="0" fontId="11" fillId="18" borderId="21" xfId="2" applyFont="1" applyFill="1" applyBorder="1" applyAlignment="1">
      <alignment horizontal="center" vertical="center" wrapText="1"/>
    </xf>
    <xf numFmtId="0" fontId="11" fillId="18" borderId="22" xfId="2" applyFont="1" applyFill="1" applyBorder="1" applyAlignment="1">
      <alignment horizontal="center" vertical="center" wrapText="1"/>
    </xf>
    <xf numFmtId="0" fontId="39" fillId="2" borderId="66" xfId="2" applyFont="1" applyFill="1" applyBorder="1" applyAlignment="1">
      <alignment horizontal="center" vertical="center"/>
    </xf>
    <xf numFmtId="0" fontId="39" fillId="2" borderId="67" xfId="2" applyFont="1" applyFill="1" applyBorder="1" applyAlignment="1">
      <alignment horizontal="center" vertical="center"/>
    </xf>
    <xf numFmtId="4" fontId="39" fillId="2" borderId="67" xfId="2" applyNumberFormat="1" applyFont="1" applyFill="1" applyBorder="1" applyAlignment="1">
      <alignment horizontal="center" vertical="center"/>
    </xf>
    <xf numFmtId="4" fontId="39" fillId="2" borderId="68" xfId="2" applyNumberFormat="1" applyFont="1" applyFill="1" applyBorder="1" applyAlignment="1">
      <alignment horizontal="center" vertical="center"/>
    </xf>
    <xf numFmtId="0" fontId="24" fillId="0" borderId="0" xfId="2" applyFont="1" applyAlignment="1">
      <alignment horizontal="center"/>
    </xf>
    <xf numFmtId="0" fontId="10" fillId="2" borderId="54" xfId="2" applyFont="1" applyFill="1" applyBorder="1" applyAlignment="1">
      <alignment horizontal="center" vertical="center"/>
    </xf>
    <xf numFmtId="0" fontId="10" fillId="2" borderId="63" xfId="2" applyFont="1" applyFill="1" applyBorder="1" applyAlignment="1">
      <alignment horizontal="center" vertical="center"/>
    </xf>
    <xf numFmtId="0" fontId="10" fillId="2" borderId="55" xfId="2" applyFont="1" applyFill="1" applyBorder="1" applyAlignment="1">
      <alignment horizontal="center" vertical="center"/>
    </xf>
    <xf numFmtId="0" fontId="10" fillId="2" borderId="64" xfId="2" applyFont="1" applyFill="1" applyBorder="1" applyAlignment="1">
      <alignment horizontal="center" vertical="center"/>
    </xf>
    <xf numFmtId="0" fontId="10" fillId="2" borderId="55" xfId="2" applyFont="1" applyFill="1" applyBorder="1" applyAlignment="1">
      <alignment horizontal="center" vertical="center" wrapText="1"/>
    </xf>
    <xf numFmtId="0" fontId="10" fillId="2" borderId="64" xfId="2" applyFont="1" applyFill="1" applyBorder="1" applyAlignment="1">
      <alignment horizontal="center" vertical="center" wrapText="1"/>
    </xf>
    <xf numFmtId="4" fontId="10" fillId="2" borderId="55" xfId="2" applyNumberFormat="1" applyFont="1" applyFill="1" applyBorder="1" applyAlignment="1">
      <alignment horizontal="center"/>
    </xf>
    <xf numFmtId="4" fontId="10" fillId="2" borderId="56" xfId="2" applyNumberFormat="1" applyFont="1" applyFill="1" applyBorder="1" applyAlignment="1">
      <alignment horizontal="center"/>
    </xf>
    <xf numFmtId="0" fontId="10" fillId="16" borderId="57" xfId="2" applyFont="1" applyFill="1" applyBorder="1" applyAlignment="1">
      <alignment horizontal="center" vertical="center"/>
    </xf>
    <xf numFmtId="0" fontId="10" fillId="16" borderId="6" xfId="2" applyFont="1" applyFill="1" applyBorder="1" applyAlignment="1">
      <alignment horizontal="center" vertical="center"/>
    </xf>
    <xf numFmtId="0" fontId="39" fillId="2" borderId="57" xfId="2" applyFont="1" applyFill="1" applyBorder="1" applyAlignment="1">
      <alignment horizontal="center" vertical="center"/>
    </xf>
    <xf numFmtId="0" fontId="39" fillId="2" borderId="6" xfId="2" applyFont="1" applyFill="1" applyBorder="1" applyAlignment="1">
      <alignment horizontal="center" vertical="center"/>
    </xf>
    <xf numFmtId="0" fontId="14" fillId="0" borderId="0" xfId="2" applyFont="1" applyAlignment="1">
      <alignment horizontal="left" wrapText="1"/>
    </xf>
    <xf numFmtId="165" fontId="39" fillId="4" borderId="6" xfId="9" applyFont="1" applyFill="1" applyBorder="1" applyAlignment="1">
      <alignment horizontal="center" vertical="distributed" wrapText="1"/>
    </xf>
    <xf numFmtId="165" fontId="39" fillId="3" borderId="6" xfId="9" applyFont="1" applyFill="1" applyBorder="1" applyAlignment="1">
      <alignment horizontal="center" vertical="distributed" wrapText="1"/>
    </xf>
    <xf numFmtId="172" fontId="18" fillId="12" borderId="6" xfId="9" applyNumberFormat="1" applyFont="1" applyFill="1" applyBorder="1" applyAlignment="1">
      <alignment horizontal="center" vertical="center" wrapText="1"/>
    </xf>
    <xf numFmtId="172" fontId="18" fillId="13" borderId="6" xfId="9" applyNumberFormat="1" applyFont="1" applyFill="1" applyBorder="1" applyAlignment="1">
      <alignment horizontal="center" vertical="center" wrapText="1"/>
    </xf>
    <xf numFmtId="0" fontId="11" fillId="16" borderId="33" xfId="0" applyFont="1" applyFill="1" applyBorder="1" applyAlignment="1">
      <alignment horizontal="center" vertical="center" wrapText="1"/>
    </xf>
    <xf numFmtId="0" fontId="11" fillId="16" borderId="34" xfId="0" applyFont="1" applyFill="1" applyBorder="1" applyAlignment="1">
      <alignment horizontal="center" vertical="center" wrapText="1"/>
    </xf>
    <xf numFmtId="0" fontId="11" fillId="16" borderId="35" xfId="0" applyFont="1" applyFill="1" applyBorder="1" applyAlignment="1">
      <alignment horizontal="center" vertical="center" wrapText="1"/>
    </xf>
    <xf numFmtId="0" fontId="11" fillId="16" borderId="36" xfId="0" applyFont="1" applyFill="1" applyBorder="1" applyAlignment="1">
      <alignment horizontal="center" vertical="center" wrapText="1"/>
    </xf>
    <xf numFmtId="0" fontId="11" fillId="16" borderId="37" xfId="0" applyFont="1" applyFill="1" applyBorder="1" applyAlignment="1">
      <alignment horizontal="center" vertical="center" wrapText="1"/>
    </xf>
    <xf numFmtId="0" fontId="11" fillId="16" borderId="38" xfId="0" applyFont="1" applyFill="1" applyBorder="1" applyAlignment="1">
      <alignment horizontal="center" vertical="center" wrapText="1"/>
    </xf>
    <xf numFmtId="171" fontId="14" fillId="9" borderId="26" xfId="9" applyNumberFormat="1" applyFont="1" applyFill="1" applyBorder="1" applyAlignment="1">
      <alignment horizontal="center" vertical="distributed" wrapText="1"/>
    </xf>
    <xf numFmtId="171" fontId="14" fillId="9" borderId="1" xfId="9" applyNumberFormat="1" applyFont="1" applyFill="1" applyBorder="1" applyAlignment="1">
      <alignment horizontal="center" vertical="distributed" wrapText="1"/>
    </xf>
    <xf numFmtId="0" fontId="10" fillId="0" borderId="26" xfId="9" applyNumberFormat="1" applyFont="1" applyBorder="1" applyAlignment="1">
      <alignment horizontal="center" vertical="distributed" wrapText="1"/>
    </xf>
    <xf numFmtId="165" fontId="10" fillId="9" borderId="1" xfId="9" applyFont="1" applyFill="1" applyBorder="1" applyAlignment="1">
      <alignment horizontal="right" vertical="center" wrapText="1"/>
    </xf>
    <xf numFmtId="0" fontId="10" fillId="2" borderId="1" xfId="9" applyNumberFormat="1" applyFont="1" applyFill="1" applyBorder="1" applyAlignment="1">
      <alignment horizontal="left" vertical="distributed" wrapText="1"/>
    </xf>
    <xf numFmtId="0" fontId="10" fillId="2" borderId="31" xfId="9" applyNumberFormat="1" applyFont="1" applyFill="1" applyBorder="1" applyAlignment="1">
      <alignment horizontal="left" vertical="distributed" wrapText="1"/>
    </xf>
    <xf numFmtId="165" fontId="10" fillId="9" borderId="42" xfId="9" applyFont="1" applyFill="1" applyBorder="1" applyAlignment="1">
      <alignment horizontal="center" vertical="distributed" wrapText="1"/>
    </xf>
    <xf numFmtId="165" fontId="10" fillId="9" borderId="43" xfId="9" applyFont="1" applyFill="1" applyBorder="1" applyAlignment="1">
      <alignment horizontal="center" vertical="distributed" wrapText="1"/>
    </xf>
    <xf numFmtId="0" fontId="41" fillId="6" borderId="8" xfId="0" applyFont="1" applyFill="1" applyBorder="1" applyAlignment="1">
      <alignment horizontal="center" vertical="center"/>
    </xf>
    <xf numFmtId="0" fontId="41" fillId="6" borderId="7" xfId="0" applyFont="1" applyFill="1" applyBorder="1" applyAlignment="1">
      <alignment horizontal="center" vertical="center"/>
    </xf>
    <xf numFmtId="0" fontId="41" fillId="6" borderId="9" xfId="0" applyFont="1" applyFill="1" applyBorder="1" applyAlignment="1">
      <alignment horizontal="center" vertical="center"/>
    </xf>
    <xf numFmtId="171" fontId="11" fillId="0" borderId="46" xfId="9" applyNumberFormat="1" applyFont="1" applyFill="1" applyBorder="1" applyAlignment="1">
      <alignment horizontal="center" vertical="distributed" wrapText="1"/>
    </xf>
    <xf numFmtId="171" fontId="11" fillId="0" borderId="26" xfId="9" applyNumberFormat="1" applyFont="1" applyFill="1" applyBorder="1" applyAlignment="1">
      <alignment horizontal="center" vertical="distributed" wrapText="1"/>
    </xf>
    <xf numFmtId="171" fontId="11" fillId="0" borderId="45" xfId="9" applyNumberFormat="1" applyFont="1" applyFill="1" applyBorder="1" applyAlignment="1">
      <alignment horizontal="center" vertical="distributed" wrapText="1"/>
    </xf>
    <xf numFmtId="171" fontId="11" fillId="0" borderId="1" xfId="9" applyNumberFormat="1" applyFont="1" applyFill="1" applyBorder="1" applyAlignment="1">
      <alignment horizontal="center" vertical="distributed" wrapText="1"/>
    </xf>
    <xf numFmtId="0" fontId="10" fillId="0" borderId="47" xfId="9" applyNumberFormat="1" applyFont="1" applyBorder="1" applyAlignment="1">
      <alignment horizontal="center" vertical="distributed" wrapText="1"/>
    </xf>
    <xf numFmtId="165" fontId="10" fillId="9" borderId="39" xfId="9" applyFont="1" applyFill="1" applyBorder="1" applyAlignment="1">
      <alignment horizontal="center" vertical="center" wrapText="1"/>
    </xf>
    <xf numFmtId="0" fontId="35" fillId="0" borderId="0" xfId="6" applyFont="1" applyAlignment="1">
      <alignment horizontal="justify" wrapText="1"/>
    </xf>
    <xf numFmtId="0" fontId="34" fillId="0" borderId="0" xfId="19" applyFont="1" applyAlignment="1">
      <alignment horizontal="justify" wrapText="1"/>
    </xf>
    <xf numFmtId="0" fontId="38" fillId="0" borderId="8" xfId="0" applyFont="1" applyBorder="1" applyAlignment="1">
      <alignment horizontal="left" vertical="justify" wrapText="1"/>
    </xf>
    <xf numFmtId="0" fontId="38" fillId="0" borderId="7" xfId="0" applyFont="1" applyBorder="1" applyAlignment="1">
      <alignment horizontal="left" vertical="justify" wrapText="1"/>
    </xf>
    <xf numFmtId="0" fontId="38" fillId="0" borderId="9" xfId="0" applyFont="1" applyBorder="1" applyAlignment="1">
      <alignment horizontal="left" vertical="justify" wrapText="1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top" wrapText="1"/>
    </xf>
  </cellXfs>
  <cellStyles count="83">
    <cellStyle name="Moeda" xfId="82" builtinId="4"/>
    <cellStyle name="Moeda 2" xfId="10" xr:uid="{00000000-0005-0000-0000-000001000000}"/>
    <cellStyle name="Moeda 3" xfId="15" xr:uid="{00000000-0005-0000-0000-000002000000}"/>
    <cellStyle name="Moeda 3 2" xfId="45" xr:uid="{EED6F780-9E54-4F2F-BDFE-858F292F8FDC}"/>
    <cellStyle name="Moeda 4" xfId="72" xr:uid="{308A825F-D538-40D0-89DD-1787A6B292B8}"/>
    <cellStyle name="Normal" xfId="0" builtinId="0"/>
    <cellStyle name="Normal 10" xfId="63" xr:uid="{68841A04-6E19-4600-B5F1-70E48D02EA93}"/>
    <cellStyle name="Normal 10 2" xfId="81" xr:uid="{9F964DA3-2AD4-4AD6-95DA-9C281DAE8197}"/>
    <cellStyle name="Normal 19" xfId="58" xr:uid="{DE612FF0-C77A-4370-9241-4DDACB7FCD44}"/>
    <cellStyle name="Normal 2" xfId="3" xr:uid="{00000000-0005-0000-0000-000004000000}"/>
    <cellStyle name="Normal 2 2" xfId="5" xr:uid="{00000000-0005-0000-0000-000005000000}"/>
    <cellStyle name="Normal 2 2 2" xfId="57" xr:uid="{C7EBEF00-CF54-4E90-9C20-CE0BBA4A3F18}"/>
    <cellStyle name="Normal 2 2 3" xfId="70" xr:uid="{AA6EE323-46E7-4326-8A9C-569D1BA6C2FE}"/>
    <cellStyle name="Normal 2 3" xfId="16" xr:uid="{00000000-0005-0000-0000-000006000000}"/>
    <cellStyle name="Normal 2 3 2" xfId="17" xr:uid="{00000000-0005-0000-0000-000007000000}"/>
    <cellStyle name="Normal 2 4" xfId="18" xr:uid="{00000000-0005-0000-0000-000008000000}"/>
    <cellStyle name="Normal 2 5" xfId="38" xr:uid="{00000000-0005-0000-0000-000009000000}"/>
    <cellStyle name="Normal 2 6" xfId="68" xr:uid="{F08EA3B4-B9A1-496C-BAB9-2312383868C1}"/>
    <cellStyle name="Normal 3" xfId="6" xr:uid="{00000000-0005-0000-0000-00000A000000}"/>
    <cellStyle name="Normal 3 2" xfId="19" xr:uid="{00000000-0005-0000-0000-00000B000000}"/>
    <cellStyle name="Normal 3 2 2" xfId="20" xr:uid="{00000000-0005-0000-0000-00000C000000}"/>
    <cellStyle name="Normal 3 2 3" xfId="36" xr:uid="{00000000-0005-0000-0000-00000D000000}"/>
    <cellStyle name="Normal 3 3" xfId="21" xr:uid="{00000000-0005-0000-0000-00000E000000}"/>
    <cellStyle name="Normal 4" xfId="11" xr:uid="{00000000-0005-0000-0000-00000F000000}"/>
    <cellStyle name="Normal 4 2" xfId="13" xr:uid="{00000000-0005-0000-0000-000010000000}"/>
    <cellStyle name="Normal 4 2 2" xfId="51" xr:uid="{01633513-2C32-4E51-909A-583D9D54FBED}"/>
    <cellStyle name="Normal 5" xfId="14" xr:uid="{00000000-0005-0000-0000-000011000000}"/>
    <cellStyle name="Normal 5 3" xfId="52" xr:uid="{9614A879-9E33-4041-820C-2FC000AEA9A9}"/>
    <cellStyle name="Normal 6" xfId="22" xr:uid="{00000000-0005-0000-0000-000012000000}"/>
    <cellStyle name="Normal 7" xfId="23" xr:uid="{00000000-0005-0000-0000-000013000000}"/>
    <cellStyle name="Normal 7 2" xfId="60" xr:uid="{C35FF795-C6AC-4ECC-A8DA-DB81FCAA035A}"/>
    <cellStyle name="Normal 8" xfId="56" xr:uid="{445DE8F1-FF5E-4BB4-9CDE-379E69B5C615}"/>
    <cellStyle name="Normal 8 2" xfId="80" xr:uid="{B1F98701-FB86-40BF-BEB2-FDDB71D9C2C3}"/>
    <cellStyle name="Normal 9" xfId="62" xr:uid="{D57DECCA-D3D9-4183-9A05-2DC6E6690DA5}"/>
    <cellStyle name="Normal_cronograma 6 meses 2" xfId="2" xr:uid="{00000000-0005-0000-0000-000014000000}"/>
    <cellStyle name="Normal_Pesquisa no referencial 10 de maio de 2013" xfId="40" xr:uid="{3C7B7850-80CD-4A18-8FEA-91D854FEA48B}"/>
    <cellStyle name="Porcentagem" xfId="1" builtinId="5"/>
    <cellStyle name="Porcentagem 2" xfId="7" xr:uid="{00000000-0005-0000-0000-000016000000}"/>
    <cellStyle name="Porcentagem 2 2" xfId="24" xr:uid="{00000000-0005-0000-0000-000017000000}"/>
    <cellStyle name="Porcentagem 2 2 2" xfId="25" xr:uid="{00000000-0005-0000-0000-000018000000}"/>
    <cellStyle name="Porcentagem 3" xfId="26" xr:uid="{00000000-0005-0000-0000-000019000000}"/>
    <cellStyle name="Porcentagem 4" xfId="53" xr:uid="{DD551FBE-25FE-4F2B-A525-3DB712C4DA07}"/>
    <cellStyle name="Porcentagem 5" xfId="67" xr:uid="{71DD4BC3-6A64-46CF-9255-B1B6777DB907}"/>
    <cellStyle name="Porcentagem 6" xfId="61" xr:uid="{7E322EE9-5C01-4EB6-B626-8604B2877290}"/>
    <cellStyle name="Separador de milhares 2" xfId="8" xr:uid="{00000000-0005-0000-0000-00001A000000}"/>
    <cellStyle name="Separador de milhares 2 2" xfId="27" xr:uid="{00000000-0005-0000-0000-00001B000000}"/>
    <cellStyle name="Separador de milhares 2 2 2" xfId="28" xr:uid="{00000000-0005-0000-0000-00001C000000}"/>
    <cellStyle name="Separador de milhares 2 2 2 2" xfId="46" xr:uid="{F5A24B16-D8AE-4B39-AD01-7B0607BF66B5}"/>
    <cellStyle name="Separador de milhares 2 2 2 2 2" xfId="73" xr:uid="{A9C630EB-6D7E-4D7A-A631-99F0E34D33BC}"/>
    <cellStyle name="Separador de milhares 3" xfId="4" xr:uid="{00000000-0005-0000-0000-00001D000000}"/>
    <cellStyle name="Separador de milhares 3 2" xfId="35" xr:uid="{00000000-0005-0000-0000-00001E000000}"/>
    <cellStyle name="Separador de milhares 3 3" xfId="42" xr:uid="{F9698006-172E-4AA3-B0A8-3EA52AC203E8}"/>
    <cellStyle name="Separador de milhares 3 3 2" xfId="69" xr:uid="{3894E608-B0B2-4E6B-8A7D-324961924474}"/>
    <cellStyle name="Separador de milhares 4" xfId="29" xr:uid="{00000000-0005-0000-0000-00001F000000}"/>
    <cellStyle name="Separador de milhares 4 2" xfId="30" xr:uid="{00000000-0005-0000-0000-000020000000}"/>
    <cellStyle name="Separador de milhares 4 2 2" xfId="48" xr:uid="{9DFE85F6-79F5-40AC-9E5F-E06BE2C140A6}"/>
    <cellStyle name="Separador de milhares 4 2 2 2" xfId="75" xr:uid="{263D1D94-327B-47B9-B532-CD7F732CBFEB}"/>
    <cellStyle name="Separador de milhares 4 3" xfId="31" xr:uid="{00000000-0005-0000-0000-000021000000}"/>
    <cellStyle name="Separador de milhares 4 4" xfId="37" xr:uid="{00000000-0005-0000-0000-000022000000}"/>
    <cellStyle name="Separador de milhares 4 5" xfId="47" xr:uid="{0866ABD1-9EC8-4ACF-BC5E-6D1182E408E2}"/>
    <cellStyle name="Separador de milhares 4 5 2" xfId="74" xr:uid="{D9F2B8EF-DA7F-4F99-9C22-5A387755416E}"/>
    <cellStyle name="Separador de milhares 5" xfId="32" xr:uid="{00000000-0005-0000-0000-000023000000}"/>
    <cellStyle name="Separador de milhares 5 2" xfId="49" xr:uid="{3D6E587F-D29E-4539-9094-E4C145D41E4C}"/>
    <cellStyle name="Separador de milhares 5 2 2" xfId="76" xr:uid="{C8247E73-9D14-4427-906C-DD8A6F37DA82}"/>
    <cellStyle name="Vírgula" xfId="12" builtinId="3"/>
    <cellStyle name="Vírgula 2" xfId="9" xr:uid="{00000000-0005-0000-0000-000025000000}"/>
    <cellStyle name="Vírgula 2 2" xfId="33" xr:uid="{00000000-0005-0000-0000-000026000000}"/>
    <cellStyle name="Vírgula 2 2 2" xfId="41" xr:uid="{8BCF6FCD-88E4-4A55-90F8-FE38DBBF9A7B}"/>
    <cellStyle name="Vírgula 2 2 3" xfId="39" xr:uid="{00000000-0005-0000-0000-000027000000}"/>
    <cellStyle name="Vírgula 2 3" xfId="59" xr:uid="{C71585FD-C291-464A-8CF0-0416EFF06C77}"/>
    <cellStyle name="Vírgula 2 3 2" xfId="66" xr:uid="{B986A298-88DA-4F9A-A31B-EB1920D39A3D}"/>
    <cellStyle name="Vírgula 2 4" xfId="54" xr:uid="{B5BF8353-720E-4EFE-A35F-BF4C8D9552C3}"/>
    <cellStyle name="Vírgula 2 4 2" xfId="78" xr:uid="{EA72ECE4-75FF-48B6-BBB9-F95D11997EA1}"/>
    <cellStyle name="Vírgula 2 5" xfId="43" xr:uid="{76A9ACDC-CF4B-4178-94F8-F68AEC136D93}"/>
    <cellStyle name="Vírgula 2 5 2" xfId="65" xr:uid="{30549838-FCAD-48D8-B5A2-5F001166A489}"/>
    <cellStyle name="Vírgula 3" xfId="34" xr:uid="{00000000-0005-0000-0000-000028000000}"/>
    <cellStyle name="Vírgula 3 2" xfId="50" xr:uid="{CB86E8ED-1A42-4496-84E9-F81DEF2A4037}"/>
    <cellStyle name="Vírgula 3 2 2" xfId="77" xr:uid="{E1DCA4F0-1078-40C0-B8DF-071EBD6E65BD}"/>
    <cellStyle name="Vírgula 4" xfId="55" xr:uid="{2FA18064-4B86-4C88-9411-4251D79A588F}"/>
    <cellStyle name="Vírgula 4 2" xfId="79" xr:uid="{021E03CB-6E58-4AEB-B4B9-DFE9428B2F4D}"/>
    <cellStyle name="Vírgula 5" xfId="44" xr:uid="{FED1BA4D-5ADC-4BEB-BF5A-1C058410CF05}"/>
    <cellStyle name="Vírgula 5 2" xfId="64" xr:uid="{60510FB0-DAB8-4980-B4BE-5CC0B84DA83E}"/>
    <cellStyle name="Vírgula 6" xfId="71" xr:uid="{EB0B241A-9D01-43C6-A29D-2E2B0BDB71E4}"/>
  </cellStyles>
  <dxfs count="2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17</xdr:row>
      <xdr:rowOff>0</xdr:rowOff>
    </xdr:from>
    <xdr:to>
      <xdr:col>13</xdr:col>
      <xdr:colOff>619125</xdr:colOff>
      <xdr:row>18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497050" y="8181975"/>
          <a:ext cx="2276475" cy="2857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61</xdr:row>
      <xdr:rowOff>11301</xdr:rowOff>
    </xdr:from>
    <xdr:to>
      <xdr:col>1</xdr:col>
      <xdr:colOff>4000501</xdr:colOff>
      <xdr:row>64</xdr:row>
      <xdr:rowOff>152401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33351" y="15213201"/>
          <a:ext cx="3943350" cy="76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BDI =     (</a:t>
          </a:r>
          <a:r>
            <a:rPr lang="pt-BR" sz="1100" u="sng"/>
            <a:t>1+AC/100)x(1+DF/100)x(1+R/100)x(1+l/100</a:t>
          </a:r>
          <a:r>
            <a:rPr lang="pt-BR" sz="1100"/>
            <a:t>)  </a:t>
          </a:r>
          <a:r>
            <a:rPr lang="pt-BR" sz="1100" baseline="0"/>
            <a:t> -1        x100</a:t>
          </a:r>
        </a:p>
        <a:p>
          <a:r>
            <a:rPr lang="pt-BR" sz="1100" baseline="0"/>
            <a:t>                                                1-      </a:t>
          </a:r>
          <a:r>
            <a:rPr lang="pt-BR" sz="1100" u="sng" baseline="0"/>
            <a:t>    l   .           </a:t>
          </a:r>
        </a:p>
        <a:p>
          <a:r>
            <a:rPr lang="pt-BR" sz="1100" baseline="0"/>
            <a:t>                                                           100</a:t>
          </a:r>
          <a:endParaRPr lang="pt-BR" sz="1100"/>
        </a:p>
      </xdr:txBody>
    </xdr:sp>
    <xdr:clientData/>
  </xdr:twoCellAnchor>
  <xdr:twoCellAnchor>
    <xdr:from>
      <xdr:col>1</xdr:col>
      <xdr:colOff>581025</xdr:colOff>
      <xdr:row>61</xdr:row>
      <xdr:rowOff>19050</xdr:rowOff>
    </xdr:from>
    <xdr:to>
      <xdr:col>1</xdr:col>
      <xdr:colOff>3190875</xdr:colOff>
      <xdr:row>64</xdr:row>
      <xdr:rowOff>95250</xdr:rowOff>
    </xdr:to>
    <xdr:sp macro="" textlink="">
      <xdr:nvSpPr>
        <xdr:cNvPr id="3" name="Colchete dupl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15220950"/>
          <a:ext cx="2609850" cy="7048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457200</xdr:colOff>
      <xdr:row>61</xdr:row>
      <xdr:rowOff>0</xdr:rowOff>
    </xdr:from>
    <xdr:to>
      <xdr:col>1</xdr:col>
      <xdr:colOff>3415393</xdr:colOff>
      <xdr:row>64</xdr:row>
      <xdr:rowOff>142874</xdr:rowOff>
    </xdr:to>
    <xdr:sp macro="" textlink="">
      <xdr:nvSpPr>
        <xdr:cNvPr id="4" name="Chave dupla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33400" y="15201900"/>
          <a:ext cx="2958193" cy="771524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1876425</xdr:colOff>
      <xdr:row>62</xdr:row>
      <xdr:rowOff>95250</xdr:rowOff>
    </xdr:from>
    <xdr:to>
      <xdr:col>1</xdr:col>
      <xdr:colOff>2333625</xdr:colOff>
      <xdr:row>64</xdr:row>
      <xdr:rowOff>57149</xdr:rowOff>
    </xdr:to>
    <xdr:sp macro="" textlink="">
      <xdr:nvSpPr>
        <xdr:cNvPr id="5" name="Colchete dupl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952625" y="15506700"/>
          <a:ext cx="457200" cy="38099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1571624</xdr:colOff>
      <xdr:row>62</xdr:row>
      <xdr:rowOff>57150</xdr:rowOff>
    </xdr:from>
    <xdr:to>
      <xdr:col>1</xdr:col>
      <xdr:colOff>2419349</xdr:colOff>
      <xdr:row>64</xdr:row>
      <xdr:rowOff>142875</xdr:rowOff>
    </xdr:to>
    <xdr:sp macro="" textlink="">
      <xdr:nvSpPr>
        <xdr:cNvPr id="6" name="Colchete dupl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647824" y="15468600"/>
          <a:ext cx="847725" cy="504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32</xdr:row>
          <xdr:rowOff>152400</xdr:rowOff>
        </xdr:from>
        <xdr:to>
          <xdr:col>1</xdr:col>
          <xdr:colOff>4648200</xdr:colOff>
          <xdr:row>36</xdr:row>
          <xdr:rowOff>161925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Sec.%20Direitos%20Humanos/Ger&#234;ncia%20de%20Projetos/UFRPE/44.003%20-%20Pr&#233;dio%20de%206%20pavimentos/CD%20-%20VERS&#195;O%20FINAL25-09-07/PR&#201;DIO%20DE%206%20PAVIMENTOS/OR&#199;AMENTOS/orca-elet-refinaria%20por%20bloc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ERNANDO\Downloads\Sec.%20Direitos%20Human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&amp;B%20-%20Prefeituras\Bom%20Jardim\-%20Passagens%20Molhadas%20(CAIXA)%20-%20&#218;ltimo%20Ajuste\Or&#231;amento%20-%20Passagens%20Molhadas\Vers&#227;o%20passada\MEMORIAS%20DE%20CALCULO%20PMS%20BJ%20_rev10%20_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Drives%20compartilhados\BREJO%20DA%20MADRE%20DE%20DEUS\_PROJETOS\2022\_CAIXA%20-%20923519-2021%20-%20Constru&#231;&#227;o%20de%20pra&#231;a%20p&#250;blica%20(Mirante)\_Licita&#231;&#227;o\Or&#231;amento\PO-PLQ-CFF%20PRACA+PAVIMENTACAO%20923519-2021%20REV5.xlsm" TargetMode="External"/><Relationship Id="rId1" Type="http://schemas.openxmlformats.org/officeDocument/2006/relationships/externalLinkPath" Target="/Drives%20compartilhados/BREJO%20DA%20MADRE%20DE%20DEUS/_PROJETOS/2022/_CAIXA%20-%20923519-2021%20-%20Constru&#231;&#227;o%20de%20pra&#231;a%20p&#250;blica%20(Mirante)/_Licita&#231;&#227;o/Or&#231;amento/PO-PLQ-CFF%20PRACA+PAVIMENTACAO%20923519-2021%20REV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  <sheetName val="Caracteristicas 1"/>
      <sheetName val="06.05"/>
      <sheetName val="Serviços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  <sheetName val="BM 01"/>
      <sheetName val="MEMORIA BM 01"/>
      <sheetName val="GERAL - COM DESONERAÇÃO"/>
      <sheetName val="GERAL - SEM DESONERAÇÃO"/>
      <sheetName val="ORCAMENTO COM DES"/>
      <sheetName val="MEM CÁLC COM DES"/>
      <sheetName val="_RESUMO COMPARATIVO_"/>
      <sheetName val="CRONOGRAMA "/>
      <sheetName val="BDI_PAV_26,01_NOVA_CPRB"/>
      <sheetName val="BDI_PAV_20,00_NOVA_CPRB"/>
      <sheetName val="BM 1"/>
      <sheetName val="MEMÓRIA DO BM1"/>
      <sheetName val="MEMÓRIA DO BM2"/>
      <sheetName val="BM 2"/>
      <sheetName val="MEMÓRIA DO BM3"/>
      <sheetName val="BM 3"/>
      <sheetName val="CRONOGRAMA"/>
      <sheetName val="Planilha1"/>
      <sheetName val="Plan1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B1">
            <v>0</v>
          </cell>
        </row>
      </sheetData>
      <sheetData sheetId="24"/>
      <sheetData sheetId="25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  <sheetName val="BM 1"/>
      <sheetName val="MEMÓRIA DO BM1"/>
      <sheetName val="MEMÓRIA DO BM2"/>
      <sheetName val="BM 2"/>
      <sheetName val="MEMÓRIA DO BM3"/>
      <sheetName val="BM 3"/>
      <sheetName val="CRONOGRAMA"/>
      <sheetName val="Planilha1"/>
      <sheetName val="BM 01"/>
      <sheetName val="MEMORIA BM 01"/>
      <sheetName val="GERAL - COM DESONERAÇÃO"/>
      <sheetName val="GERAL - SEM DESONERAÇÃO"/>
      <sheetName val="ORCAMENTO COM DES"/>
      <sheetName val="MEM CÁLC COM DES"/>
      <sheetName val="_RESUMO COMPARATIVO_"/>
      <sheetName val="CRONOGRAMA "/>
      <sheetName val="BDI_PAV_26,01_NOVA_CPRB"/>
      <sheetName val="BDI_PAV_20,00_NOVA_CPRB"/>
      <sheetName val="Plan1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>
            <v>0</v>
          </cell>
        </row>
      </sheetData>
      <sheetData sheetId="9"/>
      <sheetData sheetId="10"/>
      <sheetData sheetId="11"/>
      <sheetData sheetId="12"/>
      <sheetData sheetId="13">
        <row r="1">
          <cell r="B1"/>
        </row>
      </sheetData>
      <sheetData sheetId="14"/>
      <sheetData sheetId="15"/>
      <sheetData sheetId="16">
        <row r="1">
          <cell r="B1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1">
          <cell r="B1">
            <v>0</v>
          </cell>
        </row>
      </sheetData>
      <sheetData sheetId="24"/>
      <sheetData sheetId="25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CAM_BAIXO)"/>
      <sheetName val="(CAM_CIMA)"/>
      <sheetName val="SONDAGEM CAMARÁ DE CIMA"/>
      <sheetName val="SONDAGEM CAMARÁ DE BAIXO"/>
      <sheetName val="MEMÓRIA GERAL (SINAPI)"/>
      <sheetName val="2.Memória Auxiliar - CAM.BAIXO2"/>
      <sheetName val="3. Memória Auxiliar - CAM.CIMA2"/>
      <sheetName val="MEMÓRIA GERAL (SICRO)"/>
      <sheetName val="3. Memória Auxiliar - CAM. CIMA"/>
      <sheetName val="MEMÓRIA GERAL"/>
      <sheetName val="COMPOSIÇÕES"/>
      <sheetName val="COTAÇÕ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ços"/>
      <sheetName val="Materiais"/>
      <sheetName val="Resumo"/>
      <sheetName val="Cronograma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"/>
      <sheetName val="BDI (1)"/>
      <sheetName val="PO"/>
      <sheetName val="PLQ"/>
      <sheetName val="CFF"/>
    </sheetNames>
    <definedNames>
      <definedName name="linhaSINAPIxls" refersTo="='PO'!$X1" sheetId="2"/>
    </defined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7035F-B957-4D6C-B864-654A3C85B624}">
  <sheetPr>
    <tabColor rgb="FF00B050"/>
    <pageSetUpPr fitToPage="1"/>
  </sheetPr>
  <dimension ref="A1:AE97"/>
  <sheetViews>
    <sheetView tabSelected="1" view="pageBreakPreview" topLeftCell="A91" zoomScaleSheetLayoutView="100" workbookViewId="0">
      <pane ySplit="1005" activePane="bottomLeft"/>
      <selection activeCell="G11" sqref="G1:I1048576"/>
      <selection pane="bottomLeft" activeCell="D87" sqref="D87"/>
    </sheetView>
  </sheetViews>
  <sheetFormatPr defaultColWidth="9.140625" defaultRowHeight="11.25" x14ac:dyDescent="0.2"/>
  <cols>
    <col min="1" max="1" width="4.5703125" style="7" bestFit="1" customWidth="1"/>
    <col min="2" max="2" width="10.42578125" style="7" customWidth="1"/>
    <col min="3" max="3" width="6.85546875" style="7" bestFit="1" customWidth="1"/>
    <col min="4" max="4" width="56.7109375" style="7" customWidth="1"/>
    <col min="5" max="5" width="4.5703125" style="7" bestFit="1" customWidth="1"/>
    <col min="6" max="6" width="8.7109375" style="7" customWidth="1"/>
    <col min="7" max="7" width="8.85546875" style="9" customWidth="1"/>
    <col min="8" max="8" width="9.5703125" style="8" customWidth="1"/>
    <col min="9" max="9" width="11.85546875" style="9" customWidth="1"/>
    <col min="10" max="10" width="4.140625" style="7" customWidth="1"/>
    <col min="11" max="11" width="14.140625" style="7" customWidth="1"/>
    <col min="12" max="12" width="14" style="7" customWidth="1"/>
    <col min="13" max="13" width="11.42578125" style="7" customWidth="1"/>
    <col min="14" max="17" width="11.28515625" style="7" customWidth="1"/>
    <col min="18" max="30" width="9.140625" style="7"/>
    <col min="31" max="31" width="9.140625" style="7" customWidth="1"/>
    <col min="32" max="16384" width="9.140625" style="7"/>
  </cols>
  <sheetData>
    <row r="1" spans="1:31" ht="17.25" thickTop="1" thickBot="1" x14ac:dyDescent="0.3">
      <c r="A1" s="248" t="s">
        <v>11</v>
      </c>
      <c r="B1" s="249"/>
      <c r="C1" s="249"/>
      <c r="D1" s="249"/>
      <c r="E1" s="249"/>
      <c r="F1" s="249"/>
      <c r="G1" s="250"/>
      <c r="H1" s="249"/>
      <c r="I1" s="251"/>
    </row>
    <row r="2" spans="1:31" ht="12" thickTop="1" x14ac:dyDescent="0.2">
      <c r="A2" s="10"/>
      <c r="B2" s="10"/>
      <c r="C2" s="10"/>
      <c r="D2" s="10"/>
      <c r="E2" s="10"/>
      <c r="F2" s="10"/>
      <c r="G2" s="11"/>
      <c r="H2" s="10"/>
      <c r="I2" s="11"/>
      <c r="K2" s="12" t="s">
        <v>90</v>
      </c>
      <c r="L2" s="12" t="s">
        <v>90</v>
      </c>
    </row>
    <row r="3" spans="1:31" s="16" customFormat="1" ht="12.75" x14ac:dyDescent="0.2">
      <c r="A3" s="13"/>
      <c r="B3" s="14" t="s">
        <v>274</v>
      </c>
      <c r="C3" s="15"/>
      <c r="D3" s="15"/>
      <c r="E3" s="15"/>
      <c r="F3" s="15"/>
      <c r="G3" s="62"/>
      <c r="H3" s="15"/>
      <c r="I3" s="15"/>
      <c r="K3" s="12" t="s">
        <v>284</v>
      </c>
      <c r="L3" s="12" t="s">
        <v>285</v>
      </c>
      <c r="M3" s="8"/>
      <c r="N3" s="8"/>
      <c r="O3" s="8"/>
      <c r="P3" s="8"/>
      <c r="Q3" s="8"/>
      <c r="R3" s="8"/>
    </row>
    <row r="4" spans="1:31" s="16" customFormat="1" ht="12.75" x14ac:dyDescent="0.2">
      <c r="A4" s="13"/>
      <c r="B4" s="14" t="s">
        <v>275</v>
      </c>
      <c r="D4" s="13"/>
      <c r="E4" s="13"/>
      <c r="F4" s="13"/>
      <c r="G4" s="17"/>
      <c r="H4" s="13"/>
      <c r="I4" s="17"/>
      <c r="K4" s="18">
        <v>0.26529999999999998</v>
      </c>
      <c r="L4" s="18">
        <v>0.20499999999999999</v>
      </c>
      <c r="M4" s="8"/>
      <c r="N4" s="8"/>
      <c r="O4" s="8"/>
      <c r="P4" s="8"/>
      <c r="Q4" s="8"/>
      <c r="R4" s="8"/>
    </row>
    <row r="5" spans="1:31" s="16" customFormat="1" ht="12.75" x14ac:dyDescent="0.2">
      <c r="A5" s="13"/>
      <c r="B5" s="14" t="s">
        <v>286</v>
      </c>
      <c r="D5" s="13"/>
      <c r="E5" s="13"/>
      <c r="F5" s="13"/>
      <c r="G5" s="17"/>
      <c r="H5" s="13"/>
      <c r="I5" s="17"/>
      <c r="K5" s="8"/>
      <c r="L5" s="8"/>
      <c r="M5" s="8"/>
      <c r="N5" s="8"/>
      <c r="O5" s="8"/>
      <c r="P5" s="8"/>
      <c r="Q5" s="8"/>
      <c r="R5" s="8"/>
    </row>
    <row r="6" spans="1:31" s="16" customFormat="1" ht="13.5" thickBot="1" x14ac:dyDescent="0.25">
      <c r="A6" s="13"/>
      <c r="B6" s="19" t="s">
        <v>259</v>
      </c>
      <c r="D6" s="13"/>
      <c r="E6" s="13"/>
      <c r="F6" s="13"/>
      <c r="G6" s="17"/>
      <c r="H6" s="13"/>
      <c r="I6" s="17"/>
      <c r="K6" s="8"/>
      <c r="L6" s="8"/>
      <c r="M6" s="8"/>
      <c r="N6" s="8"/>
      <c r="O6" s="8"/>
      <c r="P6" s="8"/>
      <c r="Q6" s="8"/>
      <c r="R6" s="8"/>
    </row>
    <row r="7" spans="1:31" s="8" customFormat="1" ht="12" thickBot="1" x14ac:dyDescent="0.25">
      <c r="A7" s="3"/>
      <c r="B7" s="3"/>
      <c r="C7" s="3"/>
      <c r="D7" s="4"/>
      <c r="E7" s="5"/>
      <c r="F7" s="6"/>
      <c r="G7" s="252" t="s">
        <v>287</v>
      </c>
      <c r="H7" s="253"/>
      <c r="I7" s="254"/>
    </row>
    <row r="8" spans="1:31" s="25" customFormat="1" ht="23.25" thickBot="1" x14ac:dyDescent="0.3">
      <c r="A8" s="20" t="s">
        <v>0</v>
      </c>
      <c r="B8" s="21" t="s">
        <v>49</v>
      </c>
      <c r="C8" s="21" t="s">
        <v>10</v>
      </c>
      <c r="D8" s="21" t="s">
        <v>1</v>
      </c>
      <c r="E8" s="21" t="s">
        <v>2</v>
      </c>
      <c r="F8" s="22" t="s">
        <v>46</v>
      </c>
      <c r="G8" s="63" t="s">
        <v>87</v>
      </c>
      <c r="H8" s="23" t="s">
        <v>88</v>
      </c>
      <c r="I8" s="24" t="s">
        <v>89</v>
      </c>
      <c r="K8" s="26"/>
    </row>
    <row r="9" spans="1:31" s="32" customFormat="1" x14ac:dyDescent="0.2">
      <c r="A9" s="27"/>
      <c r="B9" s="28"/>
      <c r="C9" s="28"/>
      <c r="D9" s="29"/>
      <c r="E9" s="30"/>
      <c r="F9" s="31"/>
      <c r="G9" s="64"/>
      <c r="H9" s="65"/>
      <c r="I9" s="66"/>
    </row>
    <row r="10" spans="1:31" s="43" customFormat="1" x14ac:dyDescent="0.2">
      <c r="A10" s="33" t="s">
        <v>169</v>
      </c>
      <c r="B10" s="34"/>
      <c r="C10" s="34"/>
      <c r="D10" s="35" t="s">
        <v>3</v>
      </c>
      <c r="E10" s="36"/>
      <c r="F10" s="37"/>
      <c r="G10" s="38"/>
      <c r="H10" s="39"/>
      <c r="I10" s="40">
        <f>SUM(I11:I14)</f>
        <v>83649.090000000011</v>
      </c>
      <c r="J10" s="41" t="s">
        <v>94</v>
      </c>
      <c r="K10" s="42" t="s">
        <v>117</v>
      </c>
      <c r="AE10" s="44"/>
    </row>
    <row r="11" spans="1:31" s="8" customFormat="1" ht="22.5" x14ac:dyDescent="0.2">
      <c r="A11" s="45" t="s">
        <v>170</v>
      </c>
      <c r="B11" s="46" t="s">
        <v>48</v>
      </c>
      <c r="C11" s="186" t="s">
        <v>223</v>
      </c>
      <c r="D11" s="187" t="s">
        <v>224</v>
      </c>
      <c r="E11" s="48" t="s">
        <v>96</v>
      </c>
      <c r="F11" s="49">
        <v>4.5</v>
      </c>
      <c r="G11" s="50">
        <v>309.79000000000002</v>
      </c>
      <c r="H11" s="51">
        <f>ROUND(G11*(1+$L$4),2)</f>
        <v>373.3</v>
      </c>
      <c r="I11" s="49">
        <f>TRUNC(F11*H11,2)</f>
        <v>1679.85</v>
      </c>
      <c r="AE11" s="8" t="s">
        <v>107</v>
      </c>
    </row>
    <row r="12" spans="1:31" s="8" customFormat="1" ht="23.25" customHeight="1" x14ac:dyDescent="0.2">
      <c r="A12" s="45" t="s">
        <v>260</v>
      </c>
      <c r="B12" s="46" t="s">
        <v>48</v>
      </c>
      <c r="C12" s="186" t="s">
        <v>231</v>
      </c>
      <c r="D12" s="187" t="s">
        <v>232</v>
      </c>
      <c r="E12" s="48" t="s">
        <v>93</v>
      </c>
      <c r="F12" s="49">
        <v>114</v>
      </c>
      <c r="G12" s="50">
        <v>58.96</v>
      </c>
      <c r="H12" s="51">
        <f>ROUND(G12*(1+$L$4),2)</f>
        <v>71.05</v>
      </c>
      <c r="I12" s="49">
        <f>TRUNC(F12*H12,2)</f>
        <v>8099.7</v>
      </c>
      <c r="AE12" s="8" t="s">
        <v>107</v>
      </c>
    </row>
    <row r="13" spans="1:31" s="8" customFormat="1" x14ac:dyDescent="0.2">
      <c r="A13" s="45" t="s">
        <v>261</v>
      </c>
      <c r="B13" s="46" t="s">
        <v>48</v>
      </c>
      <c r="C13" s="186" t="s">
        <v>233</v>
      </c>
      <c r="D13" s="187" t="s">
        <v>234</v>
      </c>
      <c r="E13" s="48" t="s">
        <v>96</v>
      </c>
      <c r="F13" s="49">
        <v>502.25</v>
      </c>
      <c r="G13" s="50" t="s">
        <v>276</v>
      </c>
      <c r="H13" s="51">
        <f>ROUND(G13*(1+$L$4),2)</f>
        <v>144.53</v>
      </c>
      <c r="I13" s="49">
        <f>TRUNC(F13*H13,2)</f>
        <v>72590.19</v>
      </c>
      <c r="AE13" s="8" t="s">
        <v>107</v>
      </c>
    </row>
    <row r="14" spans="1:31" s="8" customFormat="1" ht="27" customHeight="1" x14ac:dyDescent="0.2">
      <c r="A14" s="45" t="s">
        <v>262</v>
      </c>
      <c r="B14" s="46" t="s">
        <v>48</v>
      </c>
      <c r="C14" s="186" t="s">
        <v>237</v>
      </c>
      <c r="D14" s="187" t="s">
        <v>238</v>
      </c>
      <c r="E14" s="48" t="s">
        <v>96</v>
      </c>
      <c r="F14" s="49">
        <v>2610.92</v>
      </c>
      <c r="G14" s="50" t="s">
        <v>277</v>
      </c>
      <c r="H14" s="51">
        <f>ROUND(G14*(1+$L$4),2)</f>
        <v>0.49</v>
      </c>
      <c r="I14" s="49">
        <f>TRUNC(F14*H14,2)</f>
        <v>1279.3499999999999</v>
      </c>
    </row>
    <row r="15" spans="1:31" s="43" customFormat="1" x14ac:dyDescent="0.2">
      <c r="A15" s="33" t="s">
        <v>171</v>
      </c>
      <c r="B15" s="34"/>
      <c r="C15" s="34"/>
      <c r="D15" s="35" t="s">
        <v>222</v>
      </c>
      <c r="E15" s="36"/>
      <c r="F15" s="37"/>
      <c r="G15" s="38"/>
      <c r="H15" s="39"/>
      <c r="I15" s="40">
        <f>SUM(I16:I16)</f>
        <v>29413.63</v>
      </c>
      <c r="J15" s="41" t="s">
        <v>94</v>
      </c>
      <c r="K15" s="42" t="s">
        <v>117</v>
      </c>
      <c r="AE15" s="44"/>
    </row>
    <row r="16" spans="1:31" s="56" customFormat="1" x14ac:dyDescent="0.2">
      <c r="A16" s="45" t="s">
        <v>4</v>
      </c>
      <c r="B16" s="46" t="s">
        <v>182</v>
      </c>
      <c r="C16" s="186" t="s">
        <v>116</v>
      </c>
      <c r="D16" s="187" t="s">
        <v>225</v>
      </c>
      <c r="E16" s="48" t="s">
        <v>98</v>
      </c>
      <c r="F16" s="49">
        <v>1</v>
      </c>
      <c r="G16" s="50">
        <f>COMPOSIÇÕES!I20</f>
        <v>24409.65</v>
      </c>
      <c r="H16" s="51">
        <f>ROUND(G16*(1+$L$4),2)</f>
        <v>29413.63</v>
      </c>
      <c r="I16" s="49">
        <f>TRUNC(F16*H16,2)</f>
        <v>29413.63</v>
      </c>
      <c r="J16" s="8"/>
      <c r="L16" s="8"/>
      <c r="AE16" s="8" t="s">
        <v>95</v>
      </c>
    </row>
    <row r="17" spans="1:31" s="43" customFormat="1" x14ac:dyDescent="0.2">
      <c r="A17" s="33" t="s">
        <v>172</v>
      </c>
      <c r="B17" s="34"/>
      <c r="C17" s="34"/>
      <c r="D17" s="35" t="s">
        <v>31</v>
      </c>
      <c r="E17" s="36"/>
      <c r="F17" s="37"/>
      <c r="G17" s="38"/>
      <c r="H17" s="39"/>
      <c r="I17" s="40">
        <f>SUM(I18:I20)</f>
        <v>51611.76</v>
      </c>
      <c r="J17" s="41" t="s">
        <v>94</v>
      </c>
      <c r="K17" s="42" t="s">
        <v>117</v>
      </c>
      <c r="AE17" s="44"/>
    </row>
    <row r="18" spans="1:31" s="8" customFormat="1" ht="22.5" x14ac:dyDescent="0.2">
      <c r="A18" s="45" t="s">
        <v>5</v>
      </c>
      <c r="B18" s="46" t="s">
        <v>48</v>
      </c>
      <c r="C18" s="46" t="s">
        <v>99</v>
      </c>
      <c r="D18" s="187" t="s">
        <v>130</v>
      </c>
      <c r="E18" s="48" t="s">
        <v>102</v>
      </c>
      <c r="F18" s="49">
        <v>35.43</v>
      </c>
      <c r="G18" s="50">
        <v>80.22</v>
      </c>
      <c r="H18" s="51">
        <f>ROUND(G18*(1+$L$4),2)</f>
        <v>96.67</v>
      </c>
      <c r="I18" s="49">
        <f>TRUNC(F18*H18,2)</f>
        <v>3425.01</v>
      </c>
      <c r="AE18" s="8" t="s">
        <v>108</v>
      </c>
    </row>
    <row r="19" spans="1:31" s="8" customFormat="1" x14ac:dyDescent="0.2">
      <c r="A19" s="45" t="s">
        <v>6</v>
      </c>
      <c r="B19" s="46" t="s">
        <v>48</v>
      </c>
      <c r="C19" s="46" t="s">
        <v>235</v>
      </c>
      <c r="D19" s="187" t="s">
        <v>236</v>
      </c>
      <c r="E19" s="48" t="s">
        <v>102</v>
      </c>
      <c r="F19" s="49">
        <v>522.17999999999995</v>
      </c>
      <c r="G19" s="50">
        <v>76.209999999999994</v>
      </c>
      <c r="H19" s="51">
        <f>ROUND(G19*(1+$L$4),2)</f>
        <v>91.83</v>
      </c>
      <c r="I19" s="49">
        <f>TRUNC(F19*H19,2)</f>
        <v>47951.78</v>
      </c>
      <c r="L19" s="6"/>
      <c r="M19" s="6"/>
    </row>
    <row r="20" spans="1:31" s="8" customFormat="1" x14ac:dyDescent="0.2">
      <c r="A20" s="45" t="s">
        <v>220</v>
      </c>
      <c r="B20" s="46" t="s">
        <v>48</v>
      </c>
      <c r="C20" s="46" t="s">
        <v>242</v>
      </c>
      <c r="D20" s="187" t="s">
        <v>243</v>
      </c>
      <c r="E20" s="48" t="s">
        <v>102</v>
      </c>
      <c r="F20" s="49">
        <v>9.5399999999999991</v>
      </c>
      <c r="G20" s="50">
        <v>20.440000000000001</v>
      </c>
      <c r="H20" s="51">
        <f>ROUND(G20*(1+$L$4),2)</f>
        <v>24.63</v>
      </c>
      <c r="I20" s="49">
        <f>TRUNC(F20*H20,2)</f>
        <v>234.97</v>
      </c>
    </row>
    <row r="21" spans="1:31" s="8" customFormat="1" x14ac:dyDescent="0.2">
      <c r="A21" s="33" t="s">
        <v>173</v>
      </c>
      <c r="B21" s="34"/>
      <c r="C21" s="34"/>
      <c r="D21" s="35" t="s">
        <v>40</v>
      </c>
      <c r="E21" s="36"/>
      <c r="F21" s="37"/>
      <c r="G21" s="38"/>
      <c r="H21" s="39"/>
      <c r="I21" s="40">
        <f>SUM(I22:I24)</f>
        <v>30875.5</v>
      </c>
    </row>
    <row r="22" spans="1:31" s="8" customFormat="1" x14ac:dyDescent="0.2">
      <c r="A22" s="45" t="s">
        <v>7</v>
      </c>
      <c r="B22" s="46" t="s">
        <v>48</v>
      </c>
      <c r="C22" s="46" t="s">
        <v>101</v>
      </c>
      <c r="D22" s="187" t="s">
        <v>110</v>
      </c>
      <c r="E22" s="48" t="s">
        <v>102</v>
      </c>
      <c r="F22" s="49">
        <v>2.1</v>
      </c>
      <c r="G22" s="50">
        <v>619.71</v>
      </c>
      <c r="H22" s="51">
        <f>ROUND(G22*(1+$L$4),2)</f>
        <v>746.75</v>
      </c>
      <c r="I22" s="49">
        <f>TRUNC(F22*H22,2)</f>
        <v>1568.17</v>
      </c>
    </row>
    <row r="23" spans="1:31" s="8" customFormat="1" ht="33.75" x14ac:dyDescent="0.2">
      <c r="A23" s="45" t="s">
        <v>8</v>
      </c>
      <c r="B23" s="46" t="s">
        <v>48</v>
      </c>
      <c r="C23" s="46" t="s">
        <v>244</v>
      </c>
      <c r="D23" s="188" t="s">
        <v>245</v>
      </c>
      <c r="E23" s="48" t="s">
        <v>102</v>
      </c>
      <c r="F23" s="49">
        <v>3.1100000000000003</v>
      </c>
      <c r="G23" s="50">
        <v>2557.77</v>
      </c>
      <c r="H23" s="51">
        <f>ROUND(G23*(1+$L$4),2)</f>
        <v>3082.11</v>
      </c>
      <c r="I23" s="49">
        <f>TRUNC(F23*H23,2)</f>
        <v>9585.36</v>
      </c>
      <c r="L23" s="51">
        <v>0.2</v>
      </c>
      <c r="M23" s="51">
        <v>0.2</v>
      </c>
    </row>
    <row r="24" spans="1:31" s="8" customFormat="1" ht="33.75" x14ac:dyDescent="0.2">
      <c r="A24" s="45" t="s">
        <v>263</v>
      </c>
      <c r="B24" s="46" t="s">
        <v>182</v>
      </c>
      <c r="C24" s="186" t="s">
        <v>221</v>
      </c>
      <c r="D24" s="187" t="s">
        <v>185</v>
      </c>
      <c r="E24" s="48" t="s">
        <v>102</v>
      </c>
      <c r="F24" s="49">
        <v>198.57000000000002</v>
      </c>
      <c r="G24" s="50">
        <f>COMPOSIÇÕES!I50</f>
        <v>82.42</v>
      </c>
      <c r="H24" s="51">
        <f>ROUND(G24*(1+$L$4),2)</f>
        <v>99.32</v>
      </c>
      <c r="I24" s="49">
        <f>TRUNC(F24*H24,2)</f>
        <v>19721.97</v>
      </c>
      <c r="K24" s="55"/>
      <c r="L24" s="61"/>
      <c r="M24" s="61"/>
      <c r="N24" s="61"/>
      <c r="O24" s="61"/>
      <c r="P24" s="61"/>
      <c r="Q24" s="61"/>
      <c r="R24" s="61"/>
    </row>
    <row r="25" spans="1:31" s="8" customFormat="1" x14ac:dyDescent="0.2">
      <c r="A25" s="33" t="s">
        <v>174</v>
      </c>
      <c r="B25" s="34"/>
      <c r="C25" s="34"/>
      <c r="D25" s="35" t="s">
        <v>32</v>
      </c>
      <c r="E25" s="36"/>
      <c r="F25" s="37"/>
      <c r="G25" s="38"/>
      <c r="H25" s="39"/>
      <c r="I25" s="40">
        <f>SUM(I26:I26)</f>
        <v>14483.85</v>
      </c>
      <c r="L25" s="51">
        <v>0.2</v>
      </c>
      <c r="M25" s="51">
        <v>0.2</v>
      </c>
    </row>
    <row r="26" spans="1:31" s="8" customFormat="1" ht="33.75" x14ac:dyDescent="0.2">
      <c r="A26" s="45" t="s">
        <v>9</v>
      </c>
      <c r="B26" s="46" t="s">
        <v>48</v>
      </c>
      <c r="C26" s="46" t="s">
        <v>246</v>
      </c>
      <c r="D26" s="188" t="s">
        <v>247</v>
      </c>
      <c r="E26" s="48" t="s">
        <v>102</v>
      </c>
      <c r="F26" s="49">
        <v>3.8</v>
      </c>
      <c r="G26" s="50">
        <v>3163.1</v>
      </c>
      <c r="H26" s="51">
        <f>ROUND(G26*(1+$L$4),2)</f>
        <v>3811.54</v>
      </c>
      <c r="I26" s="49">
        <f>TRUNC(F26*H26,2)</f>
        <v>14483.85</v>
      </c>
    </row>
    <row r="27" spans="1:31" s="8" customFormat="1" x14ac:dyDescent="0.2">
      <c r="A27" s="33" t="s">
        <v>175</v>
      </c>
      <c r="B27" s="34"/>
      <c r="C27" s="34"/>
      <c r="D27" s="35" t="s">
        <v>34</v>
      </c>
      <c r="E27" s="36"/>
      <c r="F27" s="37"/>
      <c r="G27" s="38"/>
      <c r="H27" s="39"/>
      <c r="I27" s="40">
        <f>SUM(I28:I30)</f>
        <v>14944.689999999999</v>
      </c>
    </row>
    <row r="28" spans="1:31" s="8" customFormat="1" ht="33.75" x14ac:dyDescent="0.2">
      <c r="A28" s="45" t="s">
        <v>12</v>
      </c>
      <c r="B28" s="46" t="s">
        <v>48</v>
      </c>
      <c r="C28" s="46" t="s">
        <v>189</v>
      </c>
      <c r="D28" s="187" t="s">
        <v>190</v>
      </c>
      <c r="E28" s="48" t="s">
        <v>96</v>
      </c>
      <c r="F28" s="49">
        <v>30.96</v>
      </c>
      <c r="G28" s="50">
        <v>78.459999999999994</v>
      </c>
      <c r="H28" s="51">
        <f>ROUND(G28*(1+$L$4),2)</f>
        <v>94.54</v>
      </c>
      <c r="I28" s="49">
        <f>TRUNC(F28*H28,2)</f>
        <v>2926.95</v>
      </c>
    </row>
    <row r="29" spans="1:31" s="8" customFormat="1" ht="33.75" x14ac:dyDescent="0.2">
      <c r="A29" s="45" t="s">
        <v>13</v>
      </c>
      <c r="B29" s="46" t="s">
        <v>48</v>
      </c>
      <c r="C29" s="46" t="s">
        <v>100</v>
      </c>
      <c r="D29" s="187" t="s">
        <v>111</v>
      </c>
      <c r="E29" s="48" t="s">
        <v>96</v>
      </c>
      <c r="F29" s="49">
        <v>411.46999999999997</v>
      </c>
      <c r="G29" s="50">
        <v>4.2300000000000004</v>
      </c>
      <c r="H29" s="51">
        <f>ROUND(G29*(1+$L$4),2)</f>
        <v>5.0999999999999996</v>
      </c>
      <c r="I29" s="49">
        <f>TRUNC(F29*H29,2)</f>
        <v>2098.4899999999998</v>
      </c>
    </row>
    <row r="30" spans="1:31" s="8" customFormat="1" ht="33.75" x14ac:dyDescent="0.2">
      <c r="A30" s="45" t="s">
        <v>14</v>
      </c>
      <c r="B30" s="46" t="s">
        <v>48</v>
      </c>
      <c r="C30" s="46" t="s">
        <v>191</v>
      </c>
      <c r="D30" s="187" t="s">
        <v>192</v>
      </c>
      <c r="E30" s="48" t="s">
        <v>96</v>
      </c>
      <c r="F30" s="49">
        <v>200.47</v>
      </c>
      <c r="G30" s="50">
        <v>41.06</v>
      </c>
      <c r="H30" s="51">
        <f>ROUND(G30*(1+$L$4),2)</f>
        <v>49.48</v>
      </c>
      <c r="I30" s="49">
        <f>TRUNC(F30*H30,2)</f>
        <v>9919.25</v>
      </c>
    </row>
    <row r="31" spans="1:31" s="8" customFormat="1" x14ac:dyDescent="0.2">
      <c r="A31" s="33" t="s">
        <v>176</v>
      </c>
      <c r="B31" s="34"/>
      <c r="C31" s="34"/>
      <c r="D31" s="35" t="s">
        <v>35</v>
      </c>
      <c r="E31" s="36"/>
      <c r="F31" s="37"/>
      <c r="G31" s="38"/>
      <c r="H31" s="39"/>
      <c r="I31" s="40">
        <f>SUM(I32:I39)</f>
        <v>188883.03000000003</v>
      </c>
    </row>
    <row r="32" spans="1:31" s="8" customFormat="1" ht="22.5" x14ac:dyDescent="0.2">
      <c r="A32" s="45" t="s">
        <v>21</v>
      </c>
      <c r="B32" s="46" t="s">
        <v>48</v>
      </c>
      <c r="C32" s="46">
        <v>95241</v>
      </c>
      <c r="D32" s="187" t="s">
        <v>109</v>
      </c>
      <c r="E32" s="48" t="s">
        <v>96</v>
      </c>
      <c r="F32" s="49">
        <v>112.26</v>
      </c>
      <c r="G32" s="50">
        <v>30.98</v>
      </c>
      <c r="H32" s="51">
        <f t="shared" ref="H32:H39" si="0">ROUND(G32*(1+$L$4),2)</f>
        <v>37.33</v>
      </c>
      <c r="I32" s="49">
        <f t="shared" ref="I32:I39" si="1">TRUNC(F32*H32,2)</f>
        <v>4190.66</v>
      </c>
    </row>
    <row r="33" spans="1:12" ht="22.5" x14ac:dyDescent="0.2">
      <c r="A33" s="45" t="s">
        <v>22</v>
      </c>
      <c r="B33" s="46" t="s">
        <v>48</v>
      </c>
      <c r="C33" s="46" t="s">
        <v>280</v>
      </c>
      <c r="D33" s="187" t="s">
        <v>281</v>
      </c>
      <c r="E33" s="48" t="s">
        <v>96</v>
      </c>
      <c r="F33" s="49">
        <v>466.18</v>
      </c>
      <c r="G33" s="50">
        <v>61.22</v>
      </c>
      <c r="H33" s="51">
        <f t="shared" si="0"/>
        <v>73.77</v>
      </c>
      <c r="I33" s="49">
        <f t="shared" si="1"/>
        <v>34390.089999999997</v>
      </c>
    </row>
    <row r="34" spans="1:12" ht="22.5" x14ac:dyDescent="0.2">
      <c r="A34" s="45" t="s">
        <v>208</v>
      </c>
      <c r="B34" s="46" t="s">
        <v>48</v>
      </c>
      <c r="C34" s="46" t="s">
        <v>278</v>
      </c>
      <c r="D34" s="187" t="s">
        <v>279</v>
      </c>
      <c r="E34" s="48" t="s">
        <v>96</v>
      </c>
      <c r="F34" s="49">
        <v>662.22</v>
      </c>
      <c r="G34" s="50">
        <v>68.11</v>
      </c>
      <c r="H34" s="51">
        <f t="shared" si="0"/>
        <v>82.07</v>
      </c>
      <c r="I34" s="49">
        <f t="shared" si="1"/>
        <v>54348.39</v>
      </c>
    </row>
    <row r="35" spans="1:12" s="8" customFormat="1" ht="42" customHeight="1" x14ac:dyDescent="0.2">
      <c r="A35" s="45" t="s">
        <v>397</v>
      </c>
      <c r="B35" s="46" t="s">
        <v>48</v>
      </c>
      <c r="C35" s="46" t="s">
        <v>282</v>
      </c>
      <c r="D35" s="187" t="s">
        <v>283</v>
      </c>
      <c r="E35" s="48" t="s">
        <v>93</v>
      </c>
      <c r="F35" s="49">
        <v>608.66</v>
      </c>
      <c r="G35" s="50">
        <v>57.35</v>
      </c>
      <c r="H35" s="51">
        <f t="shared" si="0"/>
        <v>69.11</v>
      </c>
      <c r="I35" s="49">
        <f t="shared" si="1"/>
        <v>42064.49</v>
      </c>
    </row>
    <row r="36" spans="1:12" s="8" customFormat="1" ht="33.75" x14ac:dyDescent="0.2">
      <c r="A36" s="45" t="s">
        <v>398</v>
      </c>
      <c r="B36" s="46" t="s">
        <v>48</v>
      </c>
      <c r="C36" s="46" t="s">
        <v>288</v>
      </c>
      <c r="D36" s="187" t="s">
        <v>289</v>
      </c>
      <c r="E36" s="48" t="s">
        <v>96</v>
      </c>
      <c r="F36" s="49">
        <v>389.09000000000003</v>
      </c>
      <c r="G36" s="50" t="s">
        <v>290</v>
      </c>
      <c r="H36" s="51">
        <f t="shared" si="0"/>
        <v>91.36</v>
      </c>
      <c r="I36" s="49">
        <f t="shared" si="1"/>
        <v>35547.26</v>
      </c>
    </row>
    <row r="37" spans="1:12" s="8" customFormat="1" ht="22.5" x14ac:dyDescent="0.2">
      <c r="A37" s="45" t="s">
        <v>403</v>
      </c>
      <c r="B37" s="46" t="s">
        <v>48</v>
      </c>
      <c r="C37" s="46" t="s">
        <v>291</v>
      </c>
      <c r="D37" s="187" t="s">
        <v>292</v>
      </c>
      <c r="E37" s="48" t="s">
        <v>96</v>
      </c>
      <c r="F37" s="49">
        <v>276.83000000000004</v>
      </c>
      <c r="G37" s="50">
        <v>2.29</v>
      </c>
      <c r="H37" s="51">
        <f t="shared" si="0"/>
        <v>2.76</v>
      </c>
      <c r="I37" s="49">
        <f t="shared" si="1"/>
        <v>764.05</v>
      </c>
    </row>
    <row r="38" spans="1:12" s="8" customFormat="1" ht="22.5" x14ac:dyDescent="0.2">
      <c r="A38" s="45" t="s">
        <v>404</v>
      </c>
      <c r="B38" s="46" t="s">
        <v>48</v>
      </c>
      <c r="C38" s="46" t="s">
        <v>318</v>
      </c>
      <c r="D38" s="187" t="s">
        <v>319</v>
      </c>
      <c r="E38" s="48" t="s">
        <v>96</v>
      </c>
      <c r="F38" s="49">
        <v>112.26</v>
      </c>
      <c r="G38" s="50">
        <v>49.1</v>
      </c>
      <c r="H38" s="51">
        <f t="shared" si="0"/>
        <v>59.17</v>
      </c>
      <c r="I38" s="49">
        <f t="shared" si="1"/>
        <v>6642.42</v>
      </c>
    </row>
    <row r="39" spans="1:12" s="8" customFormat="1" ht="22.5" x14ac:dyDescent="0.2">
      <c r="A39" s="45" t="s">
        <v>405</v>
      </c>
      <c r="B39" s="46" t="s">
        <v>182</v>
      </c>
      <c r="C39" s="186" t="s">
        <v>158</v>
      </c>
      <c r="D39" s="187" t="s">
        <v>363</v>
      </c>
      <c r="E39" s="48" t="s">
        <v>96</v>
      </c>
      <c r="F39" s="49">
        <v>121.44</v>
      </c>
      <c r="G39" s="50">
        <f>COMPOSIÇÕES!I34</f>
        <v>74.73</v>
      </c>
      <c r="H39" s="51">
        <f t="shared" si="0"/>
        <v>90.05</v>
      </c>
      <c r="I39" s="49">
        <f t="shared" si="1"/>
        <v>10935.67</v>
      </c>
    </row>
    <row r="40" spans="1:12" s="8" customFormat="1" x14ac:dyDescent="0.2">
      <c r="A40" s="33" t="s">
        <v>177</v>
      </c>
      <c r="B40" s="34"/>
      <c r="C40" s="34"/>
      <c r="D40" s="35" t="s">
        <v>33</v>
      </c>
      <c r="E40" s="36"/>
      <c r="F40" s="37"/>
      <c r="G40" s="38"/>
      <c r="H40" s="39"/>
      <c r="I40" s="40">
        <f>SUM(I41:I44)</f>
        <v>22262.47</v>
      </c>
    </row>
    <row r="41" spans="1:12" s="8" customFormat="1" ht="33.75" x14ac:dyDescent="0.2">
      <c r="A41" s="45" t="s">
        <v>23</v>
      </c>
      <c r="B41" s="189" t="s">
        <v>48</v>
      </c>
      <c r="C41" s="189" t="s">
        <v>250</v>
      </c>
      <c r="D41" s="187" t="s">
        <v>251</v>
      </c>
      <c r="E41" s="48" t="s">
        <v>96</v>
      </c>
      <c r="F41" s="49">
        <v>63.19</v>
      </c>
      <c r="G41" s="50">
        <v>90.69</v>
      </c>
      <c r="H41" s="51">
        <f>ROUND(G41*(1+$L$4),2)</f>
        <v>109.28</v>
      </c>
      <c r="I41" s="49">
        <f>TRUNC(F41*H41,2)</f>
        <v>6905.4</v>
      </c>
    </row>
    <row r="42" spans="1:12" s="56" customFormat="1" ht="22.5" x14ac:dyDescent="0.2">
      <c r="A42" s="45" t="s">
        <v>86</v>
      </c>
      <c r="B42" s="189" t="s">
        <v>48</v>
      </c>
      <c r="C42" s="189" t="s">
        <v>252</v>
      </c>
      <c r="D42" s="187" t="s">
        <v>253</v>
      </c>
      <c r="E42" s="48" t="s">
        <v>96</v>
      </c>
      <c r="F42" s="49">
        <v>63.19</v>
      </c>
      <c r="G42" s="50">
        <v>51.24</v>
      </c>
      <c r="H42" s="51">
        <f>ROUND(G42*(1+$L$4),2)</f>
        <v>61.74</v>
      </c>
      <c r="I42" s="49">
        <f>TRUNC(F42*H42,2)</f>
        <v>3901.35</v>
      </c>
      <c r="J42" s="8"/>
      <c r="L42" s="8"/>
    </row>
    <row r="43" spans="1:12" s="56" customFormat="1" ht="33.75" x14ac:dyDescent="0.2">
      <c r="A43" s="45" t="s">
        <v>406</v>
      </c>
      <c r="B43" s="189" t="s">
        <v>48</v>
      </c>
      <c r="C43" s="189" t="s">
        <v>293</v>
      </c>
      <c r="D43" s="187" t="s">
        <v>294</v>
      </c>
      <c r="E43" s="48" t="s">
        <v>98</v>
      </c>
      <c r="F43" s="49">
        <v>2</v>
      </c>
      <c r="G43" s="50" t="s">
        <v>295</v>
      </c>
      <c r="H43" s="51">
        <f>ROUND(G43*(1+$L$4),2)</f>
        <v>2317.94</v>
      </c>
      <c r="I43" s="49">
        <f>TRUNC(F43*H43,2)</f>
        <v>4635.88</v>
      </c>
      <c r="J43" s="8"/>
      <c r="L43" s="8"/>
    </row>
    <row r="44" spans="1:12" s="56" customFormat="1" ht="33.75" x14ac:dyDescent="0.2">
      <c r="A44" s="45" t="s">
        <v>407</v>
      </c>
      <c r="B44" s="189" t="s">
        <v>48</v>
      </c>
      <c r="C44" s="189" t="s">
        <v>408</v>
      </c>
      <c r="D44" s="187" t="s">
        <v>409</v>
      </c>
      <c r="E44" s="48" t="s">
        <v>93</v>
      </c>
      <c r="F44" s="49">
        <v>32</v>
      </c>
      <c r="G44" s="50">
        <v>176.86</v>
      </c>
      <c r="H44" s="51">
        <f>ROUND(G44*(1+$L$4),2)</f>
        <v>213.12</v>
      </c>
      <c r="I44" s="49">
        <f>TRUNC(F44*H44,2)</f>
        <v>6819.84</v>
      </c>
      <c r="J44" s="8"/>
      <c r="L44" s="8"/>
    </row>
    <row r="45" spans="1:12" s="56" customFormat="1" x14ac:dyDescent="0.2">
      <c r="A45" s="33" t="s">
        <v>178</v>
      </c>
      <c r="B45" s="34"/>
      <c r="C45" s="34"/>
      <c r="D45" s="35" t="s">
        <v>299</v>
      </c>
      <c r="E45" s="36"/>
      <c r="F45" s="37"/>
      <c r="G45" s="38"/>
      <c r="H45" s="39"/>
      <c r="I45" s="40">
        <f>SUM(I46:I52)</f>
        <v>108205.3</v>
      </c>
      <c r="J45" s="8"/>
      <c r="L45" s="8"/>
    </row>
    <row r="46" spans="1:12" s="8" customFormat="1" ht="45" x14ac:dyDescent="0.2">
      <c r="A46" s="45" t="s">
        <v>24</v>
      </c>
      <c r="B46" s="189" t="s">
        <v>48</v>
      </c>
      <c r="C46" s="189" t="s">
        <v>296</v>
      </c>
      <c r="D46" s="187" t="s">
        <v>297</v>
      </c>
      <c r="E46" s="48" t="s">
        <v>96</v>
      </c>
      <c r="F46" s="49">
        <v>320</v>
      </c>
      <c r="G46" s="50" t="s">
        <v>298</v>
      </c>
      <c r="H46" s="51">
        <f t="shared" ref="H46:H52" si="2">ROUND(G46*(1+$L$4),2)</f>
        <v>215.77</v>
      </c>
      <c r="I46" s="49">
        <f t="shared" ref="I46:I52" si="3">TRUNC(F46*H46,2)</f>
        <v>69046.399999999994</v>
      </c>
    </row>
    <row r="47" spans="1:12" s="8" customFormat="1" ht="33.75" x14ac:dyDescent="0.2">
      <c r="A47" s="45" t="s">
        <v>410</v>
      </c>
      <c r="B47" s="189" t="s">
        <v>48</v>
      </c>
      <c r="C47" s="189" t="s">
        <v>305</v>
      </c>
      <c r="D47" s="187" t="s">
        <v>306</v>
      </c>
      <c r="E47" s="48" t="s">
        <v>147</v>
      </c>
      <c r="F47" s="49">
        <v>1</v>
      </c>
      <c r="G47" s="50" t="s">
        <v>307</v>
      </c>
      <c r="H47" s="51">
        <f t="shared" si="2"/>
        <v>3279.81</v>
      </c>
      <c r="I47" s="49">
        <f t="shared" si="3"/>
        <v>3279.81</v>
      </c>
    </row>
    <row r="48" spans="1:12" s="8" customFormat="1" ht="33.75" x14ac:dyDescent="0.2">
      <c r="A48" s="45" t="s">
        <v>411</v>
      </c>
      <c r="B48" s="189" t="s">
        <v>309</v>
      </c>
      <c r="C48" s="189">
        <v>1</v>
      </c>
      <c r="D48" s="187" t="s">
        <v>308</v>
      </c>
      <c r="E48" s="48" t="s">
        <v>98</v>
      </c>
      <c r="F48" s="49">
        <v>1</v>
      </c>
      <c r="G48" s="50">
        <v>10744.666666666666</v>
      </c>
      <c r="H48" s="51">
        <f t="shared" si="2"/>
        <v>12947.32</v>
      </c>
      <c r="I48" s="49">
        <f t="shared" si="3"/>
        <v>12947.32</v>
      </c>
    </row>
    <row r="49" spans="1:12" s="8" customFormat="1" ht="22.5" x14ac:dyDescent="0.2">
      <c r="A49" s="45" t="s">
        <v>412</v>
      </c>
      <c r="B49" s="189" t="s">
        <v>309</v>
      </c>
      <c r="C49" s="189">
        <v>2</v>
      </c>
      <c r="D49" s="187" t="s">
        <v>310</v>
      </c>
      <c r="E49" s="48" t="s">
        <v>98</v>
      </c>
      <c r="F49" s="49">
        <v>1</v>
      </c>
      <c r="G49" s="50">
        <v>1692.33</v>
      </c>
      <c r="H49" s="51">
        <f t="shared" si="2"/>
        <v>2039.26</v>
      </c>
      <c r="I49" s="49">
        <f t="shared" si="3"/>
        <v>2039.26</v>
      </c>
    </row>
    <row r="50" spans="1:12" s="8" customFormat="1" ht="22.5" x14ac:dyDescent="0.2">
      <c r="A50" s="45" t="s">
        <v>413</v>
      </c>
      <c r="B50" s="189" t="s">
        <v>309</v>
      </c>
      <c r="C50" s="189">
        <v>3</v>
      </c>
      <c r="D50" s="187" t="s">
        <v>311</v>
      </c>
      <c r="E50" s="48" t="s">
        <v>98</v>
      </c>
      <c r="F50" s="49">
        <v>1</v>
      </c>
      <c r="G50" s="50">
        <v>1272.6633333333332</v>
      </c>
      <c r="H50" s="51">
        <f t="shared" si="2"/>
        <v>1533.56</v>
      </c>
      <c r="I50" s="49">
        <f t="shared" si="3"/>
        <v>1533.56</v>
      </c>
    </row>
    <row r="51" spans="1:12" s="8" customFormat="1" ht="22.5" x14ac:dyDescent="0.2">
      <c r="A51" s="45" t="s">
        <v>414</v>
      </c>
      <c r="B51" s="189" t="s">
        <v>348</v>
      </c>
      <c r="C51" s="190" t="s">
        <v>206</v>
      </c>
      <c r="D51" s="187" t="s">
        <v>339</v>
      </c>
      <c r="E51" s="48" t="s">
        <v>98</v>
      </c>
      <c r="F51" s="49">
        <v>5</v>
      </c>
      <c r="G51" s="50">
        <v>928.11</v>
      </c>
      <c r="H51" s="51">
        <f t="shared" si="2"/>
        <v>1118.3699999999999</v>
      </c>
      <c r="I51" s="49">
        <f t="shared" si="3"/>
        <v>5591.85</v>
      </c>
    </row>
    <row r="52" spans="1:12" s="8" customFormat="1" ht="33.75" x14ac:dyDescent="0.2">
      <c r="A52" s="45" t="s">
        <v>415</v>
      </c>
      <c r="B52" s="189" t="s">
        <v>309</v>
      </c>
      <c r="C52" s="189">
        <v>4</v>
      </c>
      <c r="D52" s="187" t="s">
        <v>322</v>
      </c>
      <c r="E52" s="48" t="s">
        <v>98</v>
      </c>
      <c r="F52" s="49">
        <v>10</v>
      </c>
      <c r="G52" s="50">
        <v>1142.5</v>
      </c>
      <c r="H52" s="51">
        <f t="shared" si="2"/>
        <v>1376.71</v>
      </c>
      <c r="I52" s="49">
        <f t="shared" si="3"/>
        <v>13767.1</v>
      </c>
    </row>
    <row r="53" spans="1:12" s="8" customFormat="1" x14ac:dyDescent="0.2">
      <c r="A53" s="33" t="s">
        <v>179</v>
      </c>
      <c r="B53" s="34"/>
      <c r="C53" s="34"/>
      <c r="D53" s="35" t="s">
        <v>36</v>
      </c>
      <c r="E53" s="36"/>
      <c r="F53" s="37"/>
      <c r="G53" s="38"/>
      <c r="H53" s="39"/>
      <c r="I53" s="40">
        <f>SUM(I54:I56)</f>
        <v>13826.39</v>
      </c>
    </row>
    <row r="54" spans="1:12" s="8" customFormat="1" ht="22.5" x14ac:dyDescent="0.2">
      <c r="A54" s="45" t="s">
        <v>25</v>
      </c>
      <c r="B54" s="46" t="s">
        <v>48</v>
      </c>
      <c r="C54" s="46" t="s">
        <v>103</v>
      </c>
      <c r="D54" s="187" t="s">
        <v>112</v>
      </c>
      <c r="E54" s="48" t="s">
        <v>96</v>
      </c>
      <c r="F54" s="49">
        <v>200.47</v>
      </c>
      <c r="G54" s="50">
        <v>4.08</v>
      </c>
      <c r="H54" s="51">
        <f>ROUND(G54*(1+$L$4),2)</f>
        <v>4.92</v>
      </c>
      <c r="I54" s="49">
        <f>TRUNC(F54*H54,2)</f>
        <v>986.31</v>
      </c>
    </row>
    <row r="55" spans="1:12" s="56" customFormat="1" ht="22.5" x14ac:dyDescent="0.2">
      <c r="A55" s="45" t="s">
        <v>209</v>
      </c>
      <c r="B55" s="46" t="s">
        <v>48</v>
      </c>
      <c r="C55" s="46" t="s">
        <v>104</v>
      </c>
      <c r="D55" s="187" t="s">
        <v>113</v>
      </c>
      <c r="E55" s="48" t="s">
        <v>96</v>
      </c>
      <c r="F55" s="49">
        <v>200.47</v>
      </c>
      <c r="G55" s="50">
        <v>13.35</v>
      </c>
      <c r="H55" s="51">
        <f>ROUND(G55*(1+$L$4),2)</f>
        <v>16.09</v>
      </c>
      <c r="I55" s="49">
        <f>TRUNC(F55*H55,2)</f>
        <v>3225.56</v>
      </c>
      <c r="J55" s="57"/>
      <c r="L55" s="57"/>
    </row>
    <row r="56" spans="1:12" s="8" customFormat="1" ht="22.5" x14ac:dyDescent="0.2">
      <c r="A56" s="45" t="s">
        <v>26</v>
      </c>
      <c r="B56" s="46" t="s">
        <v>48</v>
      </c>
      <c r="C56" s="46" t="s">
        <v>300</v>
      </c>
      <c r="D56" s="187" t="s">
        <v>301</v>
      </c>
      <c r="E56" s="48" t="s">
        <v>96</v>
      </c>
      <c r="F56" s="49">
        <v>122.26</v>
      </c>
      <c r="G56" s="50" t="s">
        <v>302</v>
      </c>
      <c r="H56" s="51">
        <f>ROUND(G56*(1+$L$4),2)</f>
        <v>78.64</v>
      </c>
      <c r="I56" s="49">
        <f>TRUNC(F56*H56,2)</f>
        <v>9614.52</v>
      </c>
    </row>
    <row r="57" spans="1:12" s="8" customFormat="1" x14ac:dyDescent="0.2">
      <c r="A57" s="33" t="s">
        <v>166</v>
      </c>
      <c r="B57" s="34"/>
      <c r="C57" s="34"/>
      <c r="D57" s="35" t="s">
        <v>37</v>
      </c>
      <c r="E57" s="36"/>
      <c r="F57" s="37"/>
      <c r="G57" s="38"/>
      <c r="H57" s="39"/>
      <c r="I57" s="40">
        <f>SUM(I58:I77)</f>
        <v>87974.400000000009</v>
      </c>
    </row>
    <row r="58" spans="1:12" s="8" customFormat="1" ht="25.5" customHeight="1" x14ac:dyDescent="0.2">
      <c r="A58" s="45" t="s">
        <v>27</v>
      </c>
      <c r="B58" s="46" t="s">
        <v>48</v>
      </c>
      <c r="C58" s="190" t="s">
        <v>349</v>
      </c>
      <c r="D58" s="187" t="s">
        <v>350</v>
      </c>
      <c r="E58" s="48" t="s">
        <v>147</v>
      </c>
      <c r="F58" s="49">
        <v>5</v>
      </c>
      <c r="G58" s="50">
        <v>794</v>
      </c>
      <c r="H58" s="51">
        <f t="shared" ref="H58:H77" si="4">ROUND(G58*(1+$L$4),2)</f>
        <v>956.77</v>
      </c>
      <c r="I58" s="49">
        <f t="shared" ref="I58:I77" si="5">TRUNC(F58*H58,2)</f>
        <v>4783.8500000000004</v>
      </c>
    </row>
    <row r="59" spans="1:12" s="56" customFormat="1" ht="33.75" x14ac:dyDescent="0.2">
      <c r="A59" s="45" t="s">
        <v>28</v>
      </c>
      <c r="B59" s="46" t="s">
        <v>48</v>
      </c>
      <c r="C59" s="190" t="s">
        <v>351</v>
      </c>
      <c r="D59" s="187" t="s">
        <v>352</v>
      </c>
      <c r="E59" s="48" t="s">
        <v>98</v>
      </c>
      <c r="F59" s="49">
        <v>5</v>
      </c>
      <c r="G59" s="50">
        <v>719.29</v>
      </c>
      <c r="H59" s="51">
        <f t="shared" si="4"/>
        <v>866.74</v>
      </c>
      <c r="I59" s="49">
        <f t="shared" si="5"/>
        <v>4333.7</v>
      </c>
      <c r="J59" s="57"/>
      <c r="L59" s="57"/>
    </row>
    <row r="60" spans="1:12" s="8" customFormat="1" ht="25.5" customHeight="1" x14ac:dyDescent="0.2">
      <c r="A60" s="45" t="s">
        <v>210</v>
      </c>
      <c r="B60" s="46" t="s">
        <v>48</v>
      </c>
      <c r="C60" s="190" t="s">
        <v>353</v>
      </c>
      <c r="D60" s="187" t="s">
        <v>354</v>
      </c>
      <c r="E60" s="48" t="s">
        <v>98</v>
      </c>
      <c r="F60" s="49">
        <v>1</v>
      </c>
      <c r="G60" s="50">
        <v>40.200000000000003</v>
      </c>
      <c r="H60" s="51">
        <f t="shared" si="4"/>
        <v>48.44</v>
      </c>
      <c r="I60" s="49">
        <f t="shared" si="5"/>
        <v>48.44</v>
      </c>
    </row>
    <row r="61" spans="1:12" s="56" customFormat="1" ht="22.5" x14ac:dyDescent="0.2">
      <c r="A61" s="45" t="s">
        <v>211</v>
      </c>
      <c r="B61" s="46" t="s">
        <v>48</v>
      </c>
      <c r="C61" s="190" t="s">
        <v>355</v>
      </c>
      <c r="D61" s="187" t="s">
        <v>356</v>
      </c>
      <c r="E61" s="48" t="s">
        <v>98</v>
      </c>
      <c r="F61" s="49">
        <v>1</v>
      </c>
      <c r="G61" s="50">
        <v>140.04</v>
      </c>
      <c r="H61" s="51">
        <f t="shared" si="4"/>
        <v>168.75</v>
      </c>
      <c r="I61" s="49">
        <f t="shared" si="5"/>
        <v>168.75</v>
      </c>
      <c r="J61" s="57"/>
      <c r="L61" s="57"/>
    </row>
    <row r="62" spans="1:12" s="8" customFormat="1" ht="25.5" customHeight="1" x14ac:dyDescent="0.2">
      <c r="A62" s="45" t="s">
        <v>265</v>
      </c>
      <c r="B62" s="46" t="s">
        <v>182</v>
      </c>
      <c r="C62" s="190" t="s">
        <v>118</v>
      </c>
      <c r="D62" s="187" t="s">
        <v>197</v>
      </c>
      <c r="E62" s="48" t="s">
        <v>98</v>
      </c>
      <c r="F62" s="49">
        <v>4</v>
      </c>
      <c r="G62" s="50">
        <f>COMPOSIÇÕES!I64</f>
        <v>45.7</v>
      </c>
      <c r="H62" s="51">
        <f t="shared" si="4"/>
        <v>55.07</v>
      </c>
      <c r="I62" s="49">
        <f t="shared" si="5"/>
        <v>220.28</v>
      </c>
    </row>
    <row r="63" spans="1:12" s="56" customFormat="1" ht="45" x14ac:dyDescent="0.2">
      <c r="A63" s="45" t="s">
        <v>266</v>
      </c>
      <c r="B63" s="46" t="s">
        <v>48</v>
      </c>
      <c r="C63" s="190" t="s">
        <v>254</v>
      </c>
      <c r="D63" s="187" t="s">
        <v>255</v>
      </c>
      <c r="E63" s="48" t="s">
        <v>98</v>
      </c>
      <c r="F63" s="49">
        <v>2</v>
      </c>
      <c r="G63" s="50">
        <v>134.22</v>
      </c>
      <c r="H63" s="51">
        <f t="shared" si="4"/>
        <v>161.74</v>
      </c>
      <c r="I63" s="49">
        <f t="shared" si="5"/>
        <v>323.48</v>
      </c>
      <c r="J63" s="57"/>
      <c r="L63" s="57"/>
    </row>
    <row r="64" spans="1:12" s="56" customFormat="1" ht="22.5" x14ac:dyDescent="0.2">
      <c r="A64" s="45" t="s">
        <v>267</v>
      </c>
      <c r="B64" s="46" t="s">
        <v>48</v>
      </c>
      <c r="C64" s="46" t="s">
        <v>216</v>
      </c>
      <c r="D64" s="187" t="s">
        <v>217</v>
      </c>
      <c r="E64" s="48" t="s">
        <v>98</v>
      </c>
      <c r="F64" s="49">
        <v>4</v>
      </c>
      <c r="G64" s="50">
        <v>38</v>
      </c>
      <c r="H64" s="51">
        <f t="shared" si="4"/>
        <v>45.79</v>
      </c>
      <c r="I64" s="49">
        <f t="shared" si="5"/>
        <v>183.16</v>
      </c>
      <c r="J64" s="8"/>
      <c r="L64" s="8"/>
    </row>
    <row r="65" spans="1:12" s="56" customFormat="1" ht="22.5" x14ac:dyDescent="0.2">
      <c r="A65" s="45" t="s">
        <v>268</v>
      </c>
      <c r="B65" s="46" t="s">
        <v>48</v>
      </c>
      <c r="C65" s="46" t="s">
        <v>303</v>
      </c>
      <c r="D65" s="187" t="s">
        <v>304</v>
      </c>
      <c r="E65" s="48" t="s">
        <v>98</v>
      </c>
      <c r="F65" s="49">
        <v>1</v>
      </c>
      <c r="G65" s="50">
        <v>104.05</v>
      </c>
      <c r="H65" s="51">
        <f t="shared" si="4"/>
        <v>125.38</v>
      </c>
      <c r="I65" s="49">
        <f t="shared" si="5"/>
        <v>125.38</v>
      </c>
      <c r="J65" s="8"/>
      <c r="L65" s="8"/>
    </row>
    <row r="66" spans="1:12" s="56" customFormat="1" ht="22.5" x14ac:dyDescent="0.2">
      <c r="A66" s="45" t="s">
        <v>269</v>
      </c>
      <c r="B66" s="46" t="s">
        <v>48</v>
      </c>
      <c r="C66" s="46" t="s">
        <v>357</v>
      </c>
      <c r="D66" s="187" t="s">
        <v>358</v>
      </c>
      <c r="E66" s="48" t="s">
        <v>98</v>
      </c>
      <c r="F66" s="49">
        <v>3</v>
      </c>
      <c r="G66" s="50">
        <v>13.9</v>
      </c>
      <c r="H66" s="51">
        <f t="shared" si="4"/>
        <v>16.75</v>
      </c>
      <c r="I66" s="49">
        <f t="shared" si="5"/>
        <v>50.25</v>
      </c>
      <c r="J66" s="8"/>
      <c r="L66" s="8"/>
    </row>
    <row r="67" spans="1:12" s="56" customFormat="1" ht="22.5" x14ac:dyDescent="0.2">
      <c r="A67" s="45" t="s">
        <v>270</v>
      </c>
      <c r="B67" s="46" t="s">
        <v>48</v>
      </c>
      <c r="C67" s="46" t="s">
        <v>359</v>
      </c>
      <c r="D67" s="187" t="s">
        <v>360</v>
      </c>
      <c r="E67" s="48" t="s">
        <v>98</v>
      </c>
      <c r="F67" s="49">
        <v>3</v>
      </c>
      <c r="G67" s="50">
        <v>16.68</v>
      </c>
      <c r="H67" s="51">
        <f t="shared" si="4"/>
        <v>20.100000000000001</v>
      </c>
      <c r="I67" s="49">
        <f t="shared" si="5"/>
        <v>60.3</v>
      </c>
      <c r="J67" s="8"/>
      <c r="L67" s="8"/>
    </row>
    <row r="68" spans="1:12" s="56" customFormat="1" ht="22.5" x14ac:dyDescent="0.2">
      <c r="A68" s="45" t="s">
        <v>271</v>
      </c>
      <c r="B68" s="46" t="s">
        <v>48</v>
      </c>
      <c r="C68" s="46" t="s">
        <v>361</v>
      </c>
      <c r="D68" s="187" t="s">
        <v>362</v>
      </c>
      <c r="E68" s="48" t="s">
        <v>98</v>
      </c>
      <c r="F68" s="49">
        <v>3</v>
      </c>
      <c r="G68" s="50">
        <v>26.91</v>
      </c>
      <c r="H68" s="51">
        <f t="shared" si="4"/>
        <v>32.43</v>
      </c>
      <c r="I68" s="49">
        <f t="shared" si="5"/>
        <v>97.29</v>
      </c>
      <c r="J68" s="8"/>
      <c r="L68" s="8"/>
    </row>
    <row r="69" spans="1:12" s="8" customFormat="1" ht="22.5" x14ac:dyDescent="0.2">
      <c r="A69" s="45" t="s">
        <v>272</v>
      </c>
      <c r="B69" s="46" t="s">
        <v>48</v>
      </c>
      <c r="C69" s="190" t="s">
        <v>381</v>
      </c>
      <c r="D69" s="187" t="s">
        <v>382</v>
      </c>
      <c r="E69" s="48" t="s">
        <v>98</v>
      </c>
      <c r="F69" s="49">
        <v>18</v>
      </c>
      <c r="G69" s="50">
        <v>110.88</v>
      </c>
      <c r="H69" s="51">
        <f t="shared" si="4"/>
        <v>133.61000000000001</v>
      </c>
      <c r="I69" s="49">
        <f t="shared" si="5"/>
        <v>2404.98</v>
      </c>
    </row>
    <row r="70" spans="1:12" s="8" customFormat="1" ht="33.75" x14ac:dyDescent="0.2">
      <c r="A70" s="45" t="s">
        <v>273</v>
      </c>
      <c r="B70" s="46" t="s">
        <v>182</v>
      </c>
      <c r="C70" s="190" t="s">
        <v>119</v>
      </c>
      <c r="D70" s="187" t="s">
        <v>370</v>
      </c>
      <c r="E70" s="48" t="s">
        <v>93</v>
      </c>
      <c r="F70" s="49">
        <v>266.5</v>
      </c>
      <c r="G70" s="50">
        <f>COMPOSIÇÕES!I80</f>
        <v>18.82</v>
      </c>
      <c r="H70" s="51">
        <f t="shared" si="4"/>
        <v>22.68</v>
      </c>
      <c r="I70" s="49">
        <f t="shared" si="5"/>
        <v>6044.22</v>
      </c>
    </row>
    <row r="71" spans="1:12" s="8" customFormat="1" ht="22.5" x14ac:dyDescent="0.2">
      <c r="A71" s="45" t="s">
        <v>416</v>
      </c>
      <c r="B71" s="46" t="s">
        <v>48</v>
      </c>
      <c r="C71" s="190" t="s">
        <v>379</v>
      </c>
      <c r="D71" s="187" t="s">
        <v>380</v>
      </c>
      <c r="E71" s="48" t="s">
        <v>93</v>
      </c>
      <c r="F71" s="49">
        <v>804</v>
      </c>
      <c r="G71" s="50">
        <v>8.2799999999999994</v>
      </c>
      <c r="H71" s="51">
        <f t="shared" si="4"/>
        <v>9.98</v>
      </c>
      <c r="I71" s="49">
        <f t="shared" si="5"/>
        <v>8023.92</v>
      </c>
    </row>
    <row r="72" spans="1:12" s="8" customFormat="1" ht="22.5" x14ac:dyDescent="0.2">
      <c r="A72" s="45" t="s">
        <v>417</v>
      </c>
      <c r="B72" s="46" t="s">
        <v>48</v>
      </c>
      <c r="C72" s="190" t="s">
        <v>167</v>
      </c>
      <c r="D72" s="187" t="s">
        <v>168</v>
      </c>
      <c r="E72" s="48" t="s">
        <v>93</v>
      </c>
      <c r="F72" s="49">
        <v>354</v>
      </c>
      <c r="G72" s="50">
        <v>3.86</v>
      </c>
      <c r="H72" s="51">
        <f t="shared" si="4"/>
        <v>4.6500000000000004</v>
      </c>
      <c r="I72" s="49">
        <f t="shared" si="5"/>
        <v>1646.1</v>
      </c>
    </row>
    <row r="73" spans="1:12" s="8" customFormat="1" ht="45" x14ac:dyDescent="0.2">
      <c r="A73" s="45" t="s">
        <v>418</v>
      </c>
      <c r="B73" s="46" t="s">
        <v>182</v>
      </c>
      <c r="C73" s="190" t="s">
        <v>205</v>
      </c>
      <c r="D73" s="187" t="s">
        <v>393</v>
      </c>
      <c r="E73" s="48" t="s">
        <v>98</v>
      </c>
      <c r="F73" s="49">
        <v>8</v>
      </c>
      <c r="G73" s="50">
        <f>COMPOSIÇÕES!I97</f>
        <v>2354.15</v>
      </c>
      <c r="H73" s="51">
        <f t="shared" si="4"/>
        <v>2836.75</v>
      </c>
      <c r="I73" s="49">
        <f t="shared" si="5"/>
        <v>22694</v>
      </c>
    </row>
    <row r="74" spans="1:12" s="8" customFormat="1" x14ac:dyDescent="0.2">
      <c r="A74" s="45" t="s">
        <v>419</v>
      </c>
      <c r="B74" s="46" t="s">
        <v>48</v>
      </c>
      <c r="C74" s="46">
        <v>39391</v>
      </c>
      <c r="D74" s="187" t="s">
        <v>256</v>
      </c>
      <c r="E74" s="48" t="s">
        <v>147</v>
      </c>
      <c r="F74" s="49">
        <v>8</v>
      </c>
      <c r="G74" s="50">
        <v>52.21</v>
      </c>
      <c r="H74" s="51">
        <f t="shared" si="4"/>
        <v>62.91</v>
      </c>
      <c r="I74" s="49">
        <f t="shared" si="5"/>
        <v>503.28</v>
      </c>
    </row>
    <row r="75" spans="1:12" s="8" customFormat="1" ht="22.5" x14ac:dyDescent="0.2">
      <c r="A75" s="45" t="s">
        <v>420</v>
      </c>
      <c r="B75" s="46" t="s">
        <v>48</v>
      </c>
      <c r="C75" s="46" t="s">
        <v>395</v>
      </c>
      <c r="D75" s="187" t="s">
        <v>396</v>
      </c>
      <c r="E75" s="48" t="s">
        <v>98</v>
      </c>
      <c r="F75" s="49">
        <v>32</v>
      </c>
      <c r="G75" s="50">
        <v>839.8</v>
      </c>
      <c r="H75" s="51">
        <f t="shared" si="4"/>
        <v>1011.96</v>
      </c>
      <c r="I75" s="49">
        <f t="shared" si="5"/>
        <v>32382.720000000001</v>
      </c>
    </row>
    <row r="76" spans="1:12" s="8" customFormat="1" ht="22.5" x14ac:dyDescent="0.2">
      <c r="A76" s="45" t="s">
        <v>421</v>
      </c>
      <c r="B76" s="46" t="s">
        <v>48</v>
      </c>
      <c r="C76" s="46" t="s">
        <v>368</v>
      </c>
      <c r="D76" s="187" t="s">
        <v>369</v>
      </c>
      <c r="E76" s="48" t="s">
        <v>98</v>
      </c>
      <c r="F76" s="49">
        <v>8</v>
      </c>
      <c r="G76" s="50">
        <v>41.94</v>
      </c>
      <c r="H76" s="51">
        <f t="shared" si="4"/>
        <v>50.54</v>
      </c>
      <c r="I76" s="49">
        <f t="shared" si="5"/>
        <v>404.32</v>
      </c>
    </row>
    <row r="77" spans="1:12" s="8" customFormat="1" ht="22.5" x14ac:dyDescent="0.2">
      <c r="A77" s="45" t="s">
        <v>422</v>
      </c>
      <c r="B77" s="46" t="s">
        <v>48</v>
      </c>
      <c r="C77" s="46" t="s">
        <v>257</v>
      </c>
      <c r="D77" s="187" t="s">
        <v>258</v>
      </c>
      <c r="E77" s="48" t="s">
        <v>98</v>
      </c>
      <c r="F77" s="49">
        <v>18</v>
      </c>
      <c r="G77" s="50">
        <v>160.26</v>
      </c>
      <c r="H77" s="51">
        <f t="shared" si="4"/>
        <v>193.11</v>
      </c>
      <c r="I77" s="49">
        <f t="shared" si="5"/>
        <v>3475.98</v>
      </c>
    </row>
    <row r="78" spans="1:12" s="8" customFormat="1" x14ac:dyDescent="0.2">
      <c r="A78" s="33" t="s">
        <v>180</v>
      </c>
      <c r="B78" s="34"/>
      <c r="C78" s="34"/>
      <c r="D78" s="35" t="s">
        <v>39</v>
      </c>
      <c r="E78" s="36"/>
      <c r="F78" s="37"/>
      <c r="G78" s="67"/>
      <c r="H78" s="39"/>
      <c r="I78" s="40">
        <f>SUM(I79:I83)</f>
        <v>12221.11</v>
      </c>
    </row>
    <row r="79" spans="1:12" s="8" customFormat="1" ht="33.75" x14ac:dyDescent="0.2">
      <c r="A79" s="45" t="s">
        <v>29</v>
      </c>
      <c r="B79" s="46" t="s">
        <v>48</v>
      </c>
      <c r="C79" s="46" t="s">
        <v>105</v>
      </c>
      <c r="D79" s="187" t="s">
        <v>114</v>
      </c>
      <c r="E79" s="48" t="s">
        <v>98</v>
      </c>
      <c r="F79" s="49">
        <v>3</v>
      </c>
      <c r="G79" s="50">
        <v>129.12</v>
      </c>
      <c r="H79" s="51">
        <f>ROUND(G79*(1+$L$4),2)</f>
        <v>155.59</v>
      </c>
      <c r="I79" s="49">
        <f>TRUNC(F79*H79,2)</f>
        <v>466.77</v>
      </c>
    </row>
    <row r="80" spans="1:12" s="8" customFormat="1" ht="45" x14ac:dyDescent="0.2">
      <c r="A80" s="45" t="s">
        <v>212</v>
      </c>
      <c r="B80" s="46" t="s">
        <v>313</v>
      </c>
      <c r="C80" s="190">
        <v>10203</v>
      </c>
      <c r="D80" s="187" t="s">
        <v>312</v>
      </c>
      <c r="E80" s="48" t="s">
        <v>98</v>
      </c>
      <c r="F80" s="49">
        <v>1</v>
      </c>
      <c r="G80" s="50">
        <v>9501.44</v>
      </c>
      <c r="H80" s="51">
        <f>ROUND(G80*(1+$L$4),2)</f>
        <v>11449.24</v>
      </c>
      <c r="I80" s="49">
        <f>TRUNC(F80*H80,2)</f>
        <v>11449.24</v>
      </c>
    </row>
    <row r="81" spans="1:31" s="8" customFormat="1" ht="22.5" x14ac:dyDescent="0.2">
      <c r="A81" s="45" t="s">
        <v>30</v>
      </c>
      <c r="B81" s="46" t="s">
        <v>48</v>
      </c>
      <c r="C81" s="190" t="s">
        <v>320</v>
      </c>
      <c r="D81" s="187" t="s">
        <v>321</v>
      </c>
      <c r="E81" s="48" t="s">
        <v>93</v>
      </c>
      <c r="F81" s="49">
        <v>1</v>
      </c>
      <c r="G81" s="50">
        <v>5.55</v>
      </c>
      <c r="H81" s="51">
        <f>ROUND(G81*(1+$L$4),2)</f>
        <v>6.69</v>
      </c>
      <c r="I81" s="49">
        <f>TRUNC(F81*H81,2)</f>
        <v>6.69</v>
      </c>
    </row>
    <row r="82" spans="1:31" s="8" customFormat="1" ht="33.75" x14ac:dyDescent="0.2">
      <c r="A82" s="45" t="s">
        <v>120</v>
      </c>
      <c r="B82" s="46" t="s">
        <v>48</v>
      </c>
      <c r="C82" s="46" t="s">
        <v>314</v>
      </c>
      <c r="D82" s="187" t="s">
        <v>315</v>
      </c>
      <c r="E82" s="48" t="s">
        <v>147</v>
      </c>
      <c r="F82" s="49">
        <v>3</v>
      </c>
      <c r="G82" s="50">
        <v>42.63</v>
      </c>
      <c r="H82" s="51">
        <f>ROUND(G82*(1+$L$4),2)</f>
        <v>51.37</v>
      </c>
      <c r="I82" s="49">
        <f>TRUNC(F82*H82,2)</f>
        <v>154.11000000000001</v>
      </c>
    </row>
    <row r="83" spans="1:31" s="8" customFormat="1" ht="22.5" x14ac:dyDescent="0.2">
      <c r="A83" s="45" t="s">
        <v>213</v>
      </c>
      <c r="B83" s="46" t="s">
        <v>48</v>
      </c>
      <c r="C83" s="46" t="s">
        <v>106</v>
      </c>
      <c r="D83" s="187" t="s">
        <v>115</v>
      </c>
      <c r="E83" s="48" t="s">
        <v>98</v>
      </c>
      <c r="F83" s="49">
        <v>3</v>
      </c>
      <c r="G83" s="50">
        <v>39.92</v>
      </c>
      <c r="H83" s="51">
        <f>ROUND(G83*(1+$L$4),2)</f>
        <v>48.1</v>
      </c>
      <c r="I83" s="49">
        <f>TRUNC(F83*H83,2)</f>
        <v>144.30000000000001</v>
      </c>
    </row>
    <row r="84" spans="1:31" s="8" customFormat="1" x14ac:dyDescent="0.2">
      <c r="A84" s="33" t="s">
        <v>181</v>
      </c>
      <c r="B84" s="34"/>
      <c r="C84" s="34"/>
      <c r="D84" s="35" t="s">
        <v>38</v>
      </c>
      <c r="E84" s="36"/>
      <c r="F84" s="37"/>
      <c r="G84" s="38"/>
      <c r="H84" s="39"/>
      <c r="I84" s="40">
        <f>SUM(I85:I88)</f>
        <v>20298.829999999998</v>
      </c>
    </row>
    <row r="85" spans="1:31" s="8" customFormat="1" x14ac:dyDescent="0.2">
      <c r="A85" s="45" t="s">
        <v>97</v>
      </c>
      <c r="B85" s="46" t="s">
        <v>207</v>
      </c>
      <c r="C85" s="46" t="s">
        <v>316</v>
      </c>
      <c r="D85" s="187" t="s">
        <v>317</v>
      </c>
      <c r="E85" s="48" t="s">
        <v>98</v>
      </c>
      <c r="F85" s="49">
        <v>472.85</v>
      </c>
      <c r="G85" s="50">
        <v>1.93</v>
      </c>
      <c r="H85" s="51">
        <f>ROUND(G85*(1+$L$4),2)</f>
        <v>2.33</v>
      </c>
      <c r="I85" s="49">
        <f>TRUNC(F85*H85,2)</f>
        <v>1101.74</v>
      </c>
    </row>
    <row r="86" spans="1:31" s="8" customFormat="1" ht="22.5" x14ac:dyDescent="0.2">
      <c r="A86" s="45" t="s">
        <v>214</v>
      </c>
      <c r="B86" s="46" t="s">
        <v>207</v>
      </c>
      <c r="C86" s="186" t="s">
        <v>427</v>
      </c>
      <c r="D86" s="187" t="s">
        <v>428</v>
      </c>
      <c r="E86" s="48" t="s">
        <v>98</v>
      </c>
      <c r="F86" s="49">
        <v>45</v>
      </c>
      <c r="G86" s="50" t="s">
        <v>429</v>
      </c>
      <c r="H86" s="51">
        <f>ROUND(G86*(1+$L$4),2)</f>
        <v>268.89999999999998</v>
      </c>
      <c r="I86" s="49">
        <f>TRUNC(F86*H86,2)</f>
        <v>12100.5</v>
      </c>
    </row>
    <row r="87" spans="1:31" s="8" customFormat="1" ht="33.75" x14ac:dyDescent="0.2">
      <c r="A87" s="45" t="s">
        <v>425</v>
      </c>
      <c r="B87" s="46" t="s">
        <v>207</v>
      </c>
      <c r="C87" s="186" t="s">
        <v>399</v>
      </c>
      <c r="D87" s="187" t="s">
        <v>400</v>
      </c>
      <c r="E87" s="48" t="s">
        <v>98</v>
      </c>
      <c r="F87" s="49">
        <v>4</v>
      </c>
      <c r="G87" s="50" t="s">
        <v>423</v>
      </c>
      <c r="H87" s="51">
        <f>ROUND(G87*(1+$L$4),2)</f>
        <v>1547.08</v>
      </c>
      <c r="I87" s="49">
        <f>TRUNC(F87*H87,2)</f>
        <v>6188.32</v>
      </c>
    </row>
    <row r="88" spans="1:31" s="8" customFormat="1" x14ac:dyDescent="0.2">
      <c r="A88" s="45" t="s">
        <v>426</v>
      </c>
      <c r="B88" s="46" t="s">
        <v>207</v>
      </c>
      <c r="C88" s="186" t="s">
        <v>401</v>
      </c>
      <c r="D88" s="187" t="s">
        <v>402</v>
      </c>
      <c r="E88" s="48" t="s">
        <v>98</v>
      </c>
      <c r="F88" s="49">
        <v>1</v>
      </c>
      <c r="G88" s="50" t="s">
        <v>424</v>
      </c>
      <c r="H88" s="51">
        <f>ROUND(G88*(1+$L$4),2)</f>
        <v>908.27</v>
      </c>
      <c r="I88" s="49">
        <f>TRUNC(F88*H88,2)</f>
        <v>908.27</v>
      </c>
    </row>
    <row r="89" spans="1:31" s="8" customFormat="1" ht="12" thickBot="1" x14ac:dyDescent="0.25">
      <c r="A89" s="45"/>
      <c r="B89" s="46"/>
      <c r="C89" s="46"/>
      <c r="D89" s="47"/>
      <c r="E89" s="48"/>
      <c r="F89" s="49"/>
      <c r="G89" s="50"/>
      <c r="H89" s="51"/>
      <c r="I89" s="49"/>
    </row>
    <row r="90" spans="1:31" s="194" customFormat="1" ht="16.5" thickBot="1" x14ac:dyDescent="0.25">
      <c r="A90" s="255" t="s">
        <v>15</v>
      </c>
      <c r="B90" s="256"/>
      <c r="C90" s="256"/>
      <c r="D90" s="256"/>
      <c r="E90" s="256"/>
      <c r="F90" s="257"/>
      <c r="G90" s="191"/>
      <c r="H90" s="192"/>
      <c r="I90" s="193">
        <f>I10+I15+I17+I21+I25+I27+I31+I40+I45+I53+I57+I78+I84</f>
        <v>678650.05</v>
      </c>
    </row>
    <row r="91" spans="1:31" x14ac:dyDescent="0.2">
      <c r="G91" s="52"/>
      <c r="I91" s="68">
        <v>2610.92</v>
      </c>
    </row>
    <row r="93" spans="1:31" s="60" customFormat="1" ht="15" x14ac:dyDescent="0.2">
      <c r="A93" s="7"/>
      <c r="B93" s="7"/>
      <c r="C93" s="7"/>
      <c r="D93" s="7"/>
      <c r="E93" s="7"/>
      <c r="F93" s="7"/>
      <c r="G93" s="9"/>
      <c r="H93" s="8"/>
      <c r="I93" s="69">
        <f>SUM(I9:I88)/2</f>
        <v>678650.05000000028</v>
      </c>
      <c r="J93" s="58" t="s">
        <v>94</v>
      </c>
      <c r="K93" s="59">
        <f>I90/$I$90</f>
        <v>1</v>
      </c>
    </row>
    <row r="94" spans="1:31" x14ac:dyDescent="0.2">
      <c r="AE94" s="53" t="str">
        <f>UPPER(D91)</f>
        <v/>
      </c>
    </row>
    <row r="95" spans="1:31" x14ac:dyDescent="0.2">
      <c r="H95" s="8" t="s">
        <v>264</v>
      </c>
      <c r="I95" s="9">
        <f>I90/I91</f>
        <v>259.92755427205736</v>
      </c>
    </row>
    <row r="97" spans="9:9" x14ac:dyDescent="0.2">
      <c r="I97" s="9">
        <f>SUM(I10:I89)/2</f>
        <v>678650.05000000028</v>
      </c>
    </row>
  </sheetData>
  <autoFilter ref="A9:I90" xr:uid="{00000000-0009-0000-0000-000000000000}"/>
  <mergeCells count="3">
    <mergeCell ref="A1:I1"/>
    <mergeCell ref="G7:I7"/>
    <mergeCell ref="A90:F90"/>
  </mergeCells>
  <printOptions horizontalCentered="1"/>
  <pageMargins left="0.59055118110236227" right="0.39370078740157483" top="0.98425196850393704" bottom="0.59055118110236227" header="0.39370078740157483" footer="0.39370078740157483"/>
  <pageSetup paperSize="9" scale="76" fitToHeight="0" orientation="portrait" r:id="rId1"/>
  <headerFooter>
    <oddHeader>&amp;C&amp;G</oddHeader>
    <oddFooter>&amp;R&amp;"Arial,Normal"&amp;8Pág. 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L60"/>
  <sheetViews>
    <sheetView view="pageBreakPreview" topLeftCell="A8" zoomScale="115" zoomScaleSheetLayoutView="115" workbookViewId="0">
      <pane ySplit="915" topLeftCell="A8" activePane="bottomLeft"/>
      <selection activeCell="A7" sqref="A1:XFD1048576"/>
      <selection pane="bottomLeft" activeCell="H18" sqref="H18"/>
    </sheetView>
  </sheetViews>
  <sheetFormatPr defaultColWidth="9.140625" defaultRowHeight="11.25" x14ac:dyDescent="0.2"/>
  <cols>
    <col min="1" max="1" width="5.7109375" style="8" customWidth="1"/>
    <col min="2" max="2" width="51" style="8" customWidth="1"/>
    <col min="3" max="3" width="10.42578125" style="8" customWidth="1"/>
    <col min="4" max="9" width="11" style="8" customWidth="1"/>
    <col min="10" max="10" width="4" style="8" customWidth="1"/>
    <col min="11" max="11" width="10" style="8" bestFit="1" customWidth="1"/>
    <col min="12" max="12" width="10.42578125" style="8" customWidth="1"/>
    <col min="13" max="16384" width="9.140625" style="8"/>
  </cols>
  <sheetData>
    <row r="1" spans="1:11" ht="18.75" x14ac:dyDescent="0.3">
      <c r="A1" s="262" t="s">
        <v>16</v>
      </c>
      <c r="B1" s="262"/>
      <c r="C1" s="262"/>
      <c r="D1" s="262"/>
      <c r="E1" s="262"/>
      <c r="F1" s="262"/>
      <c r="G1" s="262"/>
      <c r="H1" s="262"/>
      <c r="I1" s="262"/>
    </row>
    <row r="2" spans="1:11" x14ac:dyDescent="0.2">
      <c r="A2" s="10"/>
      <c r="B2" s="10"/>
      <c r="C2" s="10"/>
      <c r="D2" s="10"/>
      <c r="E2" s="10"/>
      <c r="F2" s="10"/>
      <c r="G2" s="10"/>
      <c r="H2" s="10"/>
      <c r="I2" s="10"/>
    </row>
    <row r="3" spans="1:11" s="16" customFormat="1" ht="12.75" x14ac:dyDescent="0.2">
      <c r="A3" s="13"/>
      <c r="B3" s="275" t="e">
        <f>#REF!</f>
        <v>#REF!</v>
      </c>
      <c r="C3" s="275"/>
      <c r="D3" s="275"/>
      <c r="E3" s="275"/>
      <c r="F3" s="275"/>
      <c r="G3" s="275"/>
      <c r="H3" s="275"/>
      <c r="I3" s="275"/>
    </row>
    <row r="4" spans="1:11" s="16" customFormat="1" ht="12.75" x14ac:dyDescent="0.2">
      <c r="A4" s="13"/>
      <c r="B4" s="14" t="e">
        <f>#REF!</f>
        <v>#REF!</v>
      </c>
      <c r="C4" s="13"/>
      <c r="D4" s="13"/>
      <c r="E4" s="13"/>
      <c r="F4" s="13"/>
      <c r="G4" s="13"/>
      <c r="H4" s="13"/>
      <c r="I4" s="13"/>
    </row>
    <row r="5" spans="1:11" s="16" customFormat="1" ht="12.75" x14ac:dyDescent="0.2">
      <c r="A5" s="13"/>
      <c r="B5" s="19" t="e">
        <f>#REF!</f>
        <v>#REF!</v>
      </c>
      <c r="C5" s="13"/>
      <c r="D5" s="13"/>
      <c r="E5" s="13"/>
      <c r="F5" s="13"/>
      <c r="G5" s="13"/>
      <c r="H5" s="13"/>
      <c r="I5" s="13"/>
    </row>
    <row r="6" spans="1:11" ht="12" thickBot="1" x14ac:dyDescent="0.25">
      <c r="A6" s="3"/>
      <c r="B6" s="3"/>
      <c r="C6" s="5"/>
      <c r="D6" s="6"/>
      <c r="E6" s="6"/>
      <c r="F6" s="6"/>
      <c r="G6" s="6"/>
      <c r="H6" s="6"/>
      <c r="I6" s="6"/>
    </row>
    <row r="7" spans="1:11" s="197" customFormat="1" x14ac:dyDescent="0.2">
      <c r="A7" s="263" t="s">
        <v>17</v>
      </c>
      <c r="B7" s="265" t="s">
        <v>18</v>
      </c>
      <c r="C7" s="267" t="s">
        <v>20</v>
      </c>
      <c r="D7" s="269" t="s">
        <v>19</v>
      </c>
      <c r="E7" s="269"/>
      <c r="F7" s="269"/>
      <c r="G7" s="269"/>
      <c r="H7" s="269"/>
      <c r="I7" s="270"/>
    </row>
    <row r="8" spans="1:11" s="197" customFormat="1" ht="12" thickBot="1" x14ac:dyDescent="0.25">
      <c r="A8" s="264"/>
      <c r="B8" s="266"/>
      <c r="C8" s="268"/>
      <c r="D8" s="246" t="s">
        <v>42</v>
      </c>
      <c r="E8" s="246" t="s">
        <v>43</v>
      </c>
      <c r="F8" s="246" t="s">
        <v>44</v>
      </c>
      <c r="G8" s="246" t="s">
        <v>442</v>
      </c>
      <c r="H8" s="246" t="s">
        <v>443</v>
      </c>
      <c r="I8" s="247" t="s">
        <v>444</v>
      </c>
    </row>
    <row r="9" spans="1:11" s="56" customFormat="1" x14ac:dyDescent="0.2">
      <c r="A9" s="227"/>
      <c r="B9" s="195"/>
      <c r="C9" s="244"/>
      <c r="D9" s="245"/>
      <c r="E9" s="204"/>
      <c r="F9" s="204"/>
      <c r="G9" s="204"/>
      <c r="H9" s="204"/>
      <c r="I9" s="229"/>
    </row>
    <row r="10" spans="1:11" s="43" customFormat="1" x14ac:dyDescent="0.2">
      <c r="A10" s="228" t="s">
        <v>121</v>
      </c>
      <c r="B10" s="198" t="str">
        <f>Orçamento!D10</f>
        <v>SERVIÇOS PRELIMINARES</v>
      </c>
      <c r="C10" s="199">
        <f>Orçamento!I10</f>
        <v>83649.090000000011</v>
      </c>
      <c r="D10" s="200">
        <f>ROUND($C10*D11,2)</f>
        <v>83649.09</v>
      </c>
      <c r="E10" s="200"/>
      <c r="F10" s="200"/>
      <c r="G10" s="200"/>
      <c r="H10" s="200"/>
      <c r="I10" s="200"/>
      <c r="K10" s="201">
        <f>C10-SUM(D10:I10)</f>
        <v>0</v>
      </c>
    </row>
    <row r="11" spans="1:11" x14ac:dyDescent="0.2">
      <c r="A11" s="227"/>
      <c r="B11" s="195"/>
      <c r="C11" s="202">
        <f>C10/$C$49</f>
        <v>0.12325806208958506</v>
      </c>
      <c r="D11" s="203">
        <v>1</v>
      </c>
      <c r="E11" s="209"/>
      <c r="F11" s="209"/>
      <c r="G11" s="209"/>
      <c r="H11" s="209"/>
      <c r="I11" s="209"/>
    </row>
    <row r="12" spans="1:11" s="208" customFormat="1" ht="8.25" x14ac:dyDescent="0.15">
      <c r="A12" s="230"/>
      <c r="B12" s="231"/>
      <c r="C12" s="205"/>
      <c r="D12" s="206"/>
      <c r="E12" s="207"/>
      <c r="F12" s="207"/>
      <c r="G12" s="207"/>
      <c r="H12" s="207"/>
      <c r="I12" s="232"/>
    </row>
    <row r="13" spans="1:11" s="43" customFormat="1" x14ac:dyDescent="0.2">
      <c r="A13" s="228" t="s">
        <v>122</v>
      </c>
      <c r="B13" s="198" t="str">
        <f>Orçamento!D15</f>
        <v>ADMINISTRAÇÃO</v>
      </c>
      <c r="C13" s="199">
        <f>Orçamento!I15</f>
        <v>29413.63</v>
      </c>
      <c r="D13" s="200">
        <f>ROUND($C13*D14,2)</f>
        <v>4902.08</v>
      </c>
      <c r="E13" s="200">
        <f t="shared" ref="E13:H13" si="0">ROUND($C13*E14,2)</f>
        <v>4902.08</v>
      </c>
      <c r="F13" s="200">
        <f t="shared" si="0"/>
        <v>4902.08</v>
      </c>
      <c r="G13" s="200">
        <f t="shared" si="0"/>
        <v>4902.08</v>
      </c>
      <c r="H13" s="200">
        <f t="shared" si="0"/>
        <v>4902.66</v>
      </c>
      <c r="I13" s="235">
        <f>ROUND($C13*I14,2)</f>
        <v>4902.6499999999996</v>
      </c>
      <c r="K13" s="201">
        <f>C13-SUM(D13:I13)</f>
        <v>0</v>
      </c>
    </row>
    <row r="14" spans="1:11" x14ac:dyDescent="0.2">
      <c r="A14" s="227"/>
      <c r="B14" s="195"/>
      <c r="C14" s="202">
        <f>C13/$C$49</f>
        <v>4.334138043605832E-2</v>
      </c>
      <c r="D14" s="203">
        <v>0.16666</v>
      </c>
      <c r="E14" s="203">
        <v>0.16666</v>
      </c>
      <c r="F14" s="203">
        <v>0.16666</v>
      </c>
      <c r="G14" s="203">
        <v>0.16666</v>
      </c>
      <c r="H14" s="203">
        <v>0.16667999999999999</v>
      </c>
      <c r="I14" s="236">
        <v>0.16667950000000001</v>
      </c>
      <c r="K14" s="8">
        <f>100/6</f>
        <v>16.666666666666668</v>
      </c>
    </row>
    <row r="15" spans="1:11" s="208" customFormat="1" ht="8.25" x14ac:dyDescent="0.15">
      <c r="A15" s="230"/>
      <c r="B15" s="234"/>
      <c r="C15" s="205"/>
      <c r="D15" s="210"/>
      <c r="E15" s="207"/>
      <c r="F15" s="207"/>
      <c r="G15" s="207"/>
      <c r="H15" s="207"/>
      <c r="I15" s="232"/>
    </row>
    <row r="16" spans="1:11" s="43" customFormat="1" x14ac:dyDescent="0.2">
      <c r="A16" s="228" t="s">
        <v>123</v>
      </c>
      <c r="B16" s="198" t="str">
        <f>Orçamento!D17</f>
        <v>TRABALHOS EM TERRA</v>
      </c>
      <c r="C16" s="199">
        <f>Orçamento!I17</f>
        <v>51611.76</v>
      </c>
      <c r="D16" s="200">
        <f>ROUND($C16*D17,2)</f>
        <v>25805.88</v>
      </c>
      <c r="E16" s="200">
        <f>ROUND($C16*E17,2)</f>
        <v>25805.88</v>
      </c>
      <c r="F16" s="200"/>
      <c r="G16" s="200"/>
      <c r="H16" s="200"/>
      <c r="I16" s="200"/>
      <c r="K16" s="201">
        <f>C16-SUM(D16:I16)</f>
        <v>0</v>
      </c>
    </row>
    <row r="17" spans="1:11" x14ac:dyDescent="0.2">
      <c r="A17" s="227"/>
      <c r="B17" s="195"/>
      <c r="C17" s="202">
        <f>C16/$C$49</f>
        <v>7.6050624323979646E-2</v>
      </c>
      <c r="D17" s="203">
        <v>0.5</v>
      </c>
      <c r="E17" s="203">
        <v>0.5</v>
      </c>
      <c r="F17" s="209"/>
      <c r="G17" s="209"/>
      <c r="H17" s="209"/>
      <c r="I17" s="209"/>
    </row>
    <row r="18" spans="1:11" s="208" customFormat="1" x14ac:dyDescent="0.2">
      <c r="A18" s="230"/>
      <c r="B18" s="234"/>
      <c r="C18" s="205"/>
      <c r="D18" s="210"/>
      <c r="E18" s="207"/>
      <c r="F18" s="207"/>
      <c r="G18" s="209"/>
      <c r="H18" s="207"/>
      <c r="I18" s="233"/>
    </row>
    <row r="19" spans="1:11" s="43" customFormat="1" x14ac:dyDescent="0.2">
      <c r="A19" s="228" t="s">
        <v>124</v>
      </c>
      <c r="B19" s="198" t="str">
        <f>Orçamento!D21</f>
        <v>INFRAESTRUTURA</v>
      </c>
      <c r="C19" s="199">
        <f>Orçamento!I21</f>
        <v>30875.5</v>
      </c>
      <c r="D19" s="200"/>
      <c r="E19" s="199">
        <f>ROUND($C19*E20,2)</f>
        <v>24700.400000000001</v>
      </c>
      <c r="F19" s="199">
        <f>ROUND($C19*F20,2)</f>
        <v>6175.1</v>
      </c>
      <c r="G19" s="200"/>
      <c r="H19" s="200"/>
      <c r="I19" s="200"/>
      <c r="K19" s="201">
        <f>C19-SUM(D19:I19)</f>
        <v>0</v>
      </c>
    </row>
    <row r="20" spans="1:11" x14ac:dyDescent="0.2">
      <c r="A20" s="227"/>
      <c r="B20" s="195"/>
      <c r="C20" s="202">
        <f>C19/$C$49</f>
        <v>4.5495465593791674E-2</v>
      </c>
      <c r="D20" s="211"/>
      <c r="E20" s="212">
        <v>0.8</v>
      </c>
      <c r="F20" s="212">
        <v>0.2</v>
      </c>
      <c r="G20" s="209"/>
      <c r="H20" s="209"/>
      <c r="I20" s="209"/>
    </row>
    <row r="21" spans="1:11" s="208" customFormat="1" x14ac:dyDescent="0.2">
      <c r="A21" s="230"/>
      <c r="B21" s="231"/>
      <c r="C21" s="205"/>
      <c r="D21" s="210"/>
      <c r="E21" s="207"/>
      <c r="F21" s="207"/>
      <c r="G21" s="209"/>
      <c r="H21" s="207"/>
      <c r="I21" s="233"/>
    </row>
    <row r="22" spans="1:11" s="43" customFormat="1" x14ac:dyDescent="0.2">
      <c r="A22" s="228" t="s">
        <v>125</v>
      </c>
      <c r="B22" s="198" t="str">
        <f>Orçamento!D25</f>
        <v>ESTRUTURA</v>
      </c>
      <c r="C22" s="199">
        <f>Orçamento!I25</f>
        <v>14483.85</v>
      </c>
      <c r="D22" s="200"/>
      <c r="E22" s="199">
        <f>ROUND($C22*E23,2)</f>
        <v>2896.77</v>
      </c>
      <c r="F22" s="199">
        <f>ROUND($C22*F23,2)</f>
        <v>11587.08</v>
      </c>
      <c r="G22" s="200"/>
      <c r="H22" s="200"/>
      <c r="I22" s="200"/>
      <c r="K22" s="201">
        <f>C22-SUM(D22:I22)</f>
        <v>0</v>
      </c>
    </row>
    <row r="23" spans="1:11" x14ac:dyDescent="0.2">
      <c r="A23" s="227"/>
      <c r="B23" s="195"/>
      <c r="C23" s="202">
        <f>C22/$C$49</f>
        <v>2.1342148283935145E-2</v>
      </c>
      <c r="D23" s="211"/>
      <c r="E23" s="212">
        <v>0.2</v>
      </c>
      <c r="F23" s="212">
        <v>0.8</v>
      </c>
      <c r="G23" s="209"/>
      <c r="H23" s="209"/>
      <c r="I23" s="209"/>
    </row>
    <row r="24" spans="1:11" s="208" customFormat="1" x14ac:dyDescent="0.2">
      <c r="A24" s="230"/>
      <c r="B24" s="231"/>
      <c r="C24" s="205"/>
      <c r="D24" s="210"/>
      <c r="E24" s="207"/>
      <c r="F24" s="207"/>
      <c r="G24" s="209"/>
      <c r="H24" s="207"/>
      <c r="I24" s="233"/>
    </row>
    <row r="25" spans="1:11" s="43" customFormat="1" x14ac:dyDescent="0.2">
      <c r="A25" s="228" t="s">
        <v>126</v>
      </c>
      <c r="B25" s="198" t="str">
        <f>Orçamento!D27</f>
        <v>PAREDES E REVESTIMENTOS</v>
      </c>
      <c r="C25" s="199">
        <f>Orçamento!I27</f>
        <v>14944.689999999999</v>
      </c>
      <c r="D25" s="200"/>
      <c r="E25" s="200"/>
      <c r="F25" s="200"/>
      <c r="G25" s="199">
        <f>ROUND($C25*G26,2)</f>
        <v>14944.69</v>
      </c>
      <c r="H25" s="200"/>
      <c r="I25" s="200"/>
      <c r="K25" s="201">
        <f>C25-SUM(D25:I25)</f>
        <v>0</v>
      </c>
    </row>
    <row r="26" spans="1:11" x14ac:dyDescent="0.2">
      <c r="A26" s="227"/>
      <c r="B26" s="195"/>
      <c r="C26" s="202">
        <f>C25/$C$49</f>
        <v>2.2021202238178567E-2</v>
      </c>
      <c r="D26" s="211"/>
      <c r="E26" s="209"/>
      <c r="F26" s="209"/>
      <c r="G26" s="212">
        <v>1</v>
      </c>
      <c r="H26" s="209"/>
      <c r="I26" s="209"/>
    </row>
    <row r="27" spans="1:11" s="208" customFormat="1" x14ac:dyDescent="0.2">
      <c r="A27" s="230"/>
      <c r="B27" s="231"/>
      <c r="C27" s="205"/>
      <c r="D27" s="210"/>
      <c r="E27" s="209"/>
      <c r="F27" s="209"/>
      <c r="G27" s="209"/>
      <c r="H27" s="209"/>
      <c r="I27" s="233"/>
    </row>
    <row r="28" spans="1:11" s="43" customFormat="1" x14ac:dyDescent="0.2">
      <c r="A28" s="228" t="s">
        <v>127</v>
      </c>
      <c r="B28" s="198" t="str">
        <f>Orçamento!D31</f>
        <v>PISOS</v>
      </c>
      <c r="C28" s="199">
        <f>Orçamento!I31</f>
        <v>188883.03000000003</v>
      </c>
      <c r="D28" s="200"/>
      <c r="E28" s="199">
        <f>ROUND($C28*E29,2)</f>
        <v>56664.91</v>
      </c>
      <c r="F28" s="199">
        <f>ROUND($C28*F29,2)</f>
        <v>75553.210000000006</v>
      </c>
      <c r="G28" s="199">
        <f>ROUND($C28*G29,2)</f>
        <v>56664.91</v>
      </c>
      <c r="H28" s="200"/>
      <c r="I28" s="200"/>
      <c r="K28" s="201">
        <f>C28-SUM(D28:I28)</f>
        <v>0</v>
      </c>
    </row>
    <row r="29" spans="1:11" x14ac:dyDescent="0.2">
      <c r="A29" s="227"/>
      <c r="B29" s="195"/>
      <c r="C29" s="202">
        <f>C28/$C$49</f>
        <v>0.27832169171725546</v>
      </c>
      <c r="D29" s="211"/>
      <c r="E29" s="212">
        <v>0.3</v>
      </c>
      <c r="F29" s="212">
        <v>0.4</v>
      </c>
      <c r="G29" s="212">
        <v>0.3</v>
      </c>
      <c r="H29" s="209"/>
      <c r="I29" s="209"/>
    </row>
    <row r="30" spans="1:11" s="208" customFormat="1" x14ac:dyDescent="0.2">
      <c r="A30" s="230"/>
      <c r="B30" s="231"/>
      <c r="C30" s="205"/>
      <c r="D30" s="210"/>
      <c r="E30" s="207"/>
      <c r="F30" s="207"/>
      <c r="G30" s="209"/>
      <c r="H30" s="207"/>
      <c r="I30" s="233"/>
    </row>
    <row r="31" spans="1:11" s="43" customFormat="1" x14ac:dyDescent="0.2">
      <c r="A31" s="228" t="s">
        <v>128</v>
      </c>
      <c r="B31" s="198" t="str">
        <f>Orçamento!D40</f>
        <v>COBERTA</v>
      </c>
      <c r="C31" s="199">
        <f>Orçamento!I40</f>
        <v>22262.47</v>
      </c>
      <c r="D31" s="200"/>
      <c r="E31" s="200"/>
      <c r="F31" s="200"/>
      <c r="G31" s="200"/>
      <c r="H31" s="199">
        <f>ROUND($C31*H32,2)</f>
        <v>22262.47</v>
      </c>
      <c r="I31" s="200"/>
      <c r="K31" s="201">
        <f>C31-SUM(D31:I31)</f>
        <v>0</v>
      </c>
    </row>
    <row r="32" spans="1:11" x14ac:dyDescent="0.2">
      <c r="A32" s="227"/>
      <c r="B32" s="195"/>
      <c r="C32" s="202">
        <f>C31/$C$49</f>
        <v>3.2804049745520536E-2</v>
      </c>
      <c r="D32" s="211"/>
      <c r="E32" s="211"/>
      <c r="F32" s="211"/>
      <c r="G32" s="209"/>
      <c r="H32" s="212">
        <v>1</v>
      </c>
      <c r="I32" s="209"/>
    </row>
    <row r="33" spans="1:11" s="208" customFormat="1" ht="8.25" x14ac:dyDescent="0.15">
      <c r="A33" s="230"/>
      <c r="B33" s="231"/>
      <c r="C33" s="205"/>
      <c r="D33" s="210"/>
      <c r="E33" s="207"/>
      <c r="F33" s="207"/>
      <c r="G33" s="207"/>
      <c r="H33" s="207"/>
      <c r="I33" s="232"/>
    </row>
    <row r="34" spans="1:11" s="43" customFormat="1" x14ac:dyDescent="0.2">
      <c r="A34" s="228" t="s">
        <v>129</v>
      </c>
      <c r="B34" s="198" t="str">
        <f>Orçamento!D45</f>
        <v>EQUIPAMENTOS</v>
      </c>
      <c r="C34" s="199">
        <f>Orçamento!I45</f>
        <v>108205.3</v>
      </c>
      <c r="D34" s="200"/>
      <c r="E34" s="199"/>
      <c r="F34" s="199"/>
      <c r="G34" s="199"/>
      <c r="H34" s="199">
        <f>ROUND($C34*H35,2)</f>
        <v>54102.65</v>
      </c>
      <c r="I34" s="235">
        <f>ROUND($C34*I35,2)</f>
        <v>54102.65</v>
      </c>
      <c r="K34" s="201">
        <f>C34-SUM(D34:I34)</f>
        <v>0</v>
      </c>
    </row>
    <row r="35" spans="1:11" x14ac:dyDescent="0.2">
      <c r="A35" s="227"/>
      <c r="B35" s="195"/>
      <c r="C35" s="202">
        <f>C34/$C$49</f>
        <v>0.1594419686552738</v>
      </c>
      <c r="D35" s="211"/>
      <c r="E35" s="204"/>
      <c r="F35" s="204"/>
      <c r="G35" s="204"/>
      <c r="H35" s="212">
        <v>0.5</v>
      </c>
      <c r="I35" s="236">
        <v>0.5</v>
      </c>
    </row>
    <row r="36" spans="1:11" s="208" customFormat="1" ht="8.25" x14ac:dyDescent="0.15">
      <c r="A36" s="230"/>
      <c r="B36" s="231"/>
      <c r="C36" s="213"/>
      <c r="D36" s="210"/>
      <c r="E36" s="207"/>
      <c r="F36" s="207"/>
      <c r="G36" s="207"/>
      <c r="H36" s="207"/>
      <c r="I36" s="232"/>
    </row>
    <row r="37" spans="1:11" s="43" customFormat="1" x14ac:dyDescent="0.2">
      <c r="A37" s="228" t="s">
        <v>218</v>
      </c>
      <c r="B37" s="198" t="str">
        <f>Orçamento!D53</f>
        <v>PINTURA</v>
      </c>
      <c r="C37" s="199">
        <f>Orçamento!I53</f>
        <v>13826.39</v>
      </c>
      <c r="D37" s="200"/>
      <c r="E37" s="199"/>
      <c r="F37" s="199"/>
      <c r="G37" s="199"/>
      <c r="H37" s="199"/>
      <c r="I37" s="235">
        <f>ROUND($C37*I38,2)</f>
        <v>13826.39</v>
      </c>
      <c r="K37" s="201">
        <f>C37-SUM(D37:I37)</f>
        <v>0</v>
      </c>
    </row>
    <row r="38" spans="1:11" x14ac:dyDescent="0.2">
      <c r="A38" s="227"/>
      <c r="B38" s="195"/>
      <c r="C38" s="202">
        <f>C37/$C$49</f>
        <v>2.0373372108349507E-2</v>
      </c>
      <c r="D38" s="211"/>
      <c r="E38" s="204"/>
      <c r="F38" s="204"/>
      <c r="G38" s="204"/>
      <c r="H38" s="204"/>
      <c r="I38" s="236">
        <v>1</v>
      </c>
    </row>
    <row r="39" spans="1:11" s="208" customFormat="1" ht="8.25" x14ac:dyDescent="0.15">
      <c r="A39" s="230"/>
      <c r="B39" s="231"/>
      <c r="C39" s="213"/>
      <c r="D39" s="210"/>
      <c r="E39" s="207"/>
      <c r="F39" s="207"/>
      <c r="G39" s="207"/>
      <c r="H39" s="207"/>
      <c r="I39" s="232"/>
    </row>
    <row r="40" spans="1:11" s="43" customFormat="1" x14ac:dyDescent="0.2">
      <c r="A40" s="228" t="s">
        <v>219</v>
      </c>
      <c r="B40" s="198" t="str">
        <f>Orçamento!D57</f>
        <v>INSTALAÇÕES ELÉTRICAS</v>
      </c>
      <c r="C40" s="199">
        <f>Orçamento!I57</f>
        <v>87974.400000000009</v>
      </c>
      <c r="D40" s="200"/>
      <c r="E40" s="199"/>
      <c r="F40" s="199">
        <f>ROUND($C40*F41,2)</f>
        <v>17594.88</v>
      </c>
      <c r="G40" s="199">
        <f>ROUND($C40*G41,2)</f>
        <v>35189.760000000002</v>
      </c>
      <c r="H40" s="199"/>
      <c r="I40" s="235">
        <f>ROUND($C40*I41,2)</f>
        <v>35189.760000000002</v>
      </c>
      <c r="K40" s="201">
        <f>C40-SUM(D40:I40)</f>
        <v>0</v>
      </c>
    </row>
    <row r="41" spans="1:11" x14ac:dyDescent="0.2">
      <c r="A41" s="227"/>
      <c r="B41" s="195"/>
      <c r="C41" s="202">
        <f>C40/$C$49</f>
        <v>0.12963146469966369</v>
      </c>
      <c r="D41" s="211"/>
      <c r="E41" s="204"/>
      <c r="F41" s="212">
        <v>0.2</v>
      </c>
      <c r="G41" s="212">
        <v>0.4</v>
      </c>
      <c r="H41" s="204"/>
      <c r="I41" s="236">
        <v>0.4</v>
      </c>
    </row>
    <row r="42" spans="1:11" s="208" customFormat="1" ht="8.25" x14ac:dyDescent="0.15">
      <c r="A42" s="230"/>
      <c r="B42" s="231"/>
      <c r="C42" s="213"/>
      <c r="D42" s="210"/>
      <c r="E42" s="207"/>
      <c r="F42" s="207"/>
      <c r="G42" s="207"/>
      <c r="H42" s="207"/>
      <c r="I42" s="232"/>
    </row>
    <row r="43" spans="1:11" s="43" customFormat="1" x14ac:dyDescent="0.2">
      <c r="A43" s="228" t="s">
        <v>440</v>
      </c>
      <c r="B43" s="198" t="str">
        <f>Orçamento!D78</f>
        <v>INSTALAÇÕES HIDROSSANITÁRIAS</v>
      </c>
      <c r="C43" s="199">
        <f>Orçamento!I78</f>
        <v>12221.11</v>
      </c>
      <c r="D43" s="200"/>
      <c r="E43" s="199"/>
      <c r="F43" s="199">
        <f>ROUND($C43*F44,2)</f>
        <v>2444.2199999999998</v>
      </c>
      <c r="G43" s="199"/>
      <c r="H43" s="199">
        <f>ROUND($C43*H44,2)</f>
        <v>9776.89</v>
      </c>
      <c r="I43" s="200"/>
      <c r="K43" s="201">
        <f>C43-SUM(D43:I43)</f>
        <v>0</v>
      </c>
    </row>
    <row r="44" spans="1:11" x14ac:dyDescent="0.2">
      <c r="A44" s="227"/>
      <c r="B44" s="195"/>
      <c r="C44" s="202">
        <f>C43/$C$49</f>
        <v>1.8007970381789553E-2</v>
      </c>
      <c r="D44" s="211"/>
      <c r="E44" s="204"/>
      <c r="F44" s="212">
        <v>0.2</v>
      </c>
      <c r="G44" s="204"/>
      <c r="H44" s="212">
        <v>0.8</v>
      </c>
      <c r="I44" s="209"/>
    </row>
    <row r="45" spans="1:11" s="208" customFormat="1" ht="8.25" x14ac:dyDescent="0.15">
      <c r="A45" s="230"/>
      <c r="B45" s="231"/>
      <c r="C45" s="213"/>
      <c r="D45" s="210"/>
      <c r="E45" s="207"/>
      <c r="F45" s="207"/>
      <c r="G45" s="207"/>
      <c r="H45" s="207"/>
      <c r="I45" s="232"/>
    </row>
    <row r="46" spans="1:11" s="43" customFormat="1" x14ac:dyDescent="0.2">
      <c r="A46" s="228" t="s">
        <v>441</v>
      </c>
      <c r="B46" s="198" t="str">
        <f>Orçamento!D84</f>
        <v>DIVERSOS</v>
      </c>
      <c r="C46" s="199">
        <f>Orçamento!I84</f>
        <v>20298.829999999998</v>
      </c>
      <c r="D46" s="200"/>
      <c r="E46" s="199"/>
      <c r="F46" s="199"/>
      <c r="G46" s="199"/>
      <c r="H46" s="199">
        <f>ROUND($C46*H47,2)</f>
        <v>8119.53</v>
      </c>
      <c r="I46" s="235">
        <f>ROUND($C46*I47,2)</f>
        <v>12179.3</v>
      </c>
      <c r="K46" s="201">
        <f>C46-SUM(D46:I46)</f>
        <v>0</v>
      </c>
    </row>
    <row r="47" spans="1:11" x14ac:dyDescent="0.2">
      <c r="A47" s="227"/>
      <c r="B47" s="195"/>
      <c r="C47" s="202">
        <f>C46/$C$49</f>
        <v>2.9910599726619039E-2</v>
      </c>
      <c r="D47" s="211"/>
      <c r="E47" s="204"/>
      <c r="F47" s="204"/>
      <c r="G47" s="204"/>
      <c r="H47" s="212">
        <v>0.4</v>
      </c>
      <c r="I47" s="236">
        <v>0.6</v>
      </c>
    </row>
    <row r="48" spans="1:11" s="208" customFormat="1" ht="8.25" x14ac:dyDescent="0.15">
      <c r="A48" s="230"/>
      <c r="B48" s="231"/>
      <c r="C48" s="213"/>
      <c r="D48" s="210"/>
      <c r="E48" s="207"/>
      <c r="F48" s="207"/>
      <c r="G48" s="207"/>
      <c r="H48" s="207"/>
      <c r="I48" s="232"/>
    </row>
    <row r="49" spans="1:12" x14ac:dyDescent="0.2">
      <c r="A49" s="271" t="s">
        <v>41</v>
      </c>
      <c r="B49" s="272"/>
      <c r="C49" s="200">
        <f>C10+C13+C16+C19+C22+C25+C28+C31+C34+C37+C46+C40+C43</f>
        <v>678650.05</v>
      </c>
      <c r="D49" s="211"/>
      <c r="E49" s="204"/>
      <c r="F49" s="204"/>
      <c r="G49" s="204"/>
      <c r="H49" s="204"/>
      <c r="I49" s="229"/>
    </row>
    <row r="50" spans="1:12" x14ac:dyDescent="0.2">
      <c r="A50" s="271"/>
      <c r="B50" s="272"/>
      <c r="C50" s="214">
        <f>C49/$C$49</f>
        <v>1</v>
      </c>
      <c r="D50" s="211"/>
      <c r="E50" s="209"/>
      <c r="F50" s="209"/>
      <c r="G50" s="209"/>
      <c r="H50" s="209"/>
      <c r="I50" s="233"/>
    </row>
    <row r="51" spans="1:12" x14ac:dyDescent="0.2">
      <c r="A51" s="237"/>
      <c r="B51" s="118"/>
      <c r="C51" s="215"/>
      <c r="D51" s="216"/>
      <c r="E51" s="217"/>
      <c r="F51" s="217"/>
      <c r="G51" s="217"/>
      <c r="H51" s="217"/>
      <c r="I51" s="238"/>
    </row>
    <row r="52" spans="1:12" s="57" customFormat="1" x14ac:dyDescent="0.2">
      <c r="A52" s="273" t="s">
        <v>47</v>
      </c>
      <c r="B52" s="274"/>
      <c r="C52" s="274"/>
      <c r="D52" s="218">
        <f>SUM(D10,D13,D16,D19,D22,D25,D28,D31,D34,D37,D40,D43,D46)</f>
        <v>114357.05</v>
      </c>
      <c r="E52" s="218">
        <f t="shared" ref="E52:H52" si="1">SUM(E10,E13,E16,E19,E22,E25,E28,E31,E34,E37,E40,E43,E46)</f>
        <v>114970.04000000001</v>
      </c>
      <c r="F52" s="218">
        <f t="shared" si="1"/>
        <v>118256.57</v>
      </c>
      <c r="G52" s="218">
        <f t="shared" si="1"/>
        <v>111701.44</v>
      </c>
      <c r="H52" s="218">
        <f t="shared" si="1"/>
        <v>99164.2</v>
      </c>
      <c r="I52" s="239">
        <f>SUM(I10,I13,I16,I19,I22,I25,I28,I31,I34,I37,I40,I43,I46)</f>
        <v>120200.75000000001</v>
      </c>
    </row>
    <row r="53" spans="1:12" s="57" customFormat="1" ht="12" x14ac:dyDescent="0.2">
      <c r="A53" s="273"/>
      <c r="B53" s="274"/>
      <c r="C53" s="274"/>
      <c r="D53" s="219">
        <f t="shared" ref="D53:I53" si="2">D52/$C$49</f>
        <v>0.16850665523416669</v>
      </c>
      <c r="E53" s="219">
        <f t="shared" si="2"/>
        <v>0.16940990426509214</v>
      </c>
      <c r="F53" s="219">
        <f t="shared" si="2"/>
        <v>0.17425265053763717</v>
      </c>
      <c r="G53" s="219">
        <f t="shared" si="2"/>
        <v>0.16459357808932601</v>
      </c>
      <c r="H53" s="219">
        <f t="shared" si="2"/>
        <v>0.14611978588964961</v>
      </c>
      <c r="I53" s="240">
        <f t="shared" si="2"/>
        <v>0.17711742598412836</v>
      </c>
    </row>
    <row r="54" spans="1:12" x14ac:dyDescent="0.2">
      <c r="A54" s="237"/>
      <c r="B54" s="118"/>
      <c r="C54" s="215"/>
      <c r="D54" s="11"/>
      <c r="E54" s="215"/>
      <c r="F54" s="215"/>
      <c r="G54" s="220"/>
      <c r="H54" s="215"/>
      <c r="I54" s="241"/>
    </row>
    <row r="55" spans="1:12" s="57" customFormat="1" x14ac:dyDescent="0.2">
      <c r="A55" s="273" t="s">
        <v>79</v>
      </c>
      <c r="B55" s="274"/>
      <c r="C55" s="274"/>
      <c r="D55" s="218">
        <f>D52</f>
        <v>114357.05</v>
      </c>
      <c r="E55" s="218">
        <f>E52+D55</f>
        <v>229327.09000000003</v>
      </c>
      <c r="F55" s="218">
        <f t="shared" ref="F55:I55" si="3">F52+E55</f>
        <v>347583.66000000003</v>
      </c>
      <c r="G55" s="218">
        <f t="shared" si="3"/>
        <v>459285.10000000003</v>
      </c>
      <c r="H55" s="218">
        <f t="shared" si="3"/>
        <v>558449.30000000005</v>
      </c>
      <c r="I55" s="239">
        <f t="shared" si="3"/>
        <v>678650.05</v>
      </c>
    </row>
    <row r="56" spans="1:12" s="57" customFormat="1" ht="12" x14ac:dyDescent="0.2">
      <c r="A56" s="273"/>
      <c r="B56" s="274"/>
      <c r="C56" s="274"/>
      <c r="D56" s="219">
        <f t="shared" ref="D56:I56" si="4">D55/$C$49</f>
        <v>0.16850665523416669</v>
      </c>
      <c r="E56" s="219">
        <f t="shared" si="4"/>
        <v>0.33791655949925886</v>
      </c>
      <c r="F56" s="219">
        <f t="shared" si="4"/>
        <v>0.51216921003689608</v>
      </c>
      <c r="G56" s="219">
        <f t="shared" si="4"/>
        <v>0.67676278812622204</v>
      </c>
      <c r="H56" s="219">
        <f t="shared" si="4"/>
        <v>0.82288257401587162</v>
      </c>
      <c r="I56" s="240">
        <f t="shared" si="4"/>
        <v>1</v>
      </c>
    </row>
    <row r="57" spans="1:12" s="57" customFormat="1" ht="12" thickBot="1" x14ac:dyDescent="0.25">
      <c r="A57" s="242"/>
      <c r="B57" s="3"/>
      <c r="C57" s="3"/>
      <c r="G57" s="221"/>
      <c r="I57" s="243"/>
    </row>
    <row r="58" spans="1:12" s="222" customFormat="1" ht="12.75" thickBot="1" x14ac:dyDescent="0.25">
      <c r="A58" s="258" t="s">
        <v>15</v>
      </c>
      <c r="B58" s="259"/>
      <c r="C58" s="259"/>
      <c r="D58" s="260">
        <f>SUM(D52:I52)</f>
        <v>678650.05</v>
      </c>
      <c r="E58" s="260"/>
      <c r="F58" s="260"/>
      <c r="G58" s="260"/>
      <c r="H58" s="260"/>
      <c r="I58" s="261"/>
      <c r="K58" s="223">
        <f>C49</f>
        <v>678650.05</v>
      </c>
      <c r="L58" s="224">
        <f>D58-K58</f>
        <v>0</v>
      </c>
    </row>
    <row r="59" spans="1:12" x14ac:dyDescent="0.2">
      <c r="K59" s="9"/>
    </row>
    <row r="60" spans="1:12" x14ac:dyDescent="0.2">
      <c r="C60" s="225" t="e">
        <f>C49-#REF!</f>
        <v>#REF!</v>
      </c>
      <c r="D60" s="226">
        <f t="shared" ref="D60:I60" si="5">D52-$L$60</f>
        <v>1248.7083333333285</v>
      </c>
      <c r="E60" s="226">
        <f t="shared" si="5"/>
        <v>1861.6983333333337</v>
      </c>
      <c r="F60" s="226">
        <f t="shared" si="5"/>
        <v>5148.2283333333326</v>
      </c>
      <c r="G60" s="226">
        <f t="shared" si="5"/>
        <v>-1406.9016666666721</v>
      </c>
      <c r="H60" s="226">
        <f t="shared" si="5"/>
        <v>-13944.141666666677</v>
      </c>
      <c r="I60" s="226">
        <f t="shared" si="5"/>
        <v>7092.4083333333401</v>
      </c>
      <c r="K60" s="224" t="s">
        <v>45</v>
      </c>
      <c r="L60" s="223">
        <f>K58/6</f>
        <v>113108.34166666667</v>
      </c>
    </row>
  </sheetData>
  <mergeCells count="11">
    <mergeCell ref="A58:C58"/>
    <mergeCell ref="D58:I58"/>
    <mergeCell ref="A1:I1"/>
    <mergeCell ref="A7:A8"/>
    <mergeCell ref="B7:B8"/>
    <mergeCell ref="C7:C8"/>
    <mergeCell ref="D7:I7"/>
    <mergeCell ref="A49:B50"/>
    <mergeCell ref="A52:C53"/>
    <mergeCell ref="A55:C56"/>
    <mergeCell ref="B3:I3"/>
  </mergeCells>
  <phoneticPr fontId="6" type="noConversion"/>
  <printOptions horizontalCentered="1"/>
  <pageMargins left="0.39370078740157483" right="0.39370078740157483" top="1.1811023622047245" bottom="0.19685039370078741" header="0.39370078740157483" footer="0.39370078740157483"/>
  <pageSetup paperSize="9" scale="72" fitToHeight="0" orientation="portrait" horizontalDpi="300" verticalDpi="300" r:id="rId1"/>
  <headerFooter>
    <oddHeader>&amp;C&amp;G</oddHeader>
    <oddFooter>&amp;C&amp;G&amp;R&amp;"Arial,Normal"&amp;8Pág.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F92FB-0280-4A4D-BE3F-62E1CA2D7622}">
  <sheetPr>
    <tabColor rgb="FF00B050"/>
    <pageSetUpPr fitToPage="1"/>
  </sheetPr>
  <dimension ref="A1:W564"/>
  <sheetViews>
    <sheetView view="pageBreakPreview" topLeftCell="A88" zoomScale="85" zoomScaleNormal="100" zoomScaleSheetLayoutView="85" workbookViewId="0">
      <selection activeCell="N94" sqref="N94"/>
    </sheetView>
  </sheetViews>
  <sheetFormatPr defaultRowHeight="11.25" x14ac:dyDescent="0.2"/>
  <cols>
    <col min="1" max="1" width="12.28515625" style="7" customWidth="1"/>
    <col min="2" max="2" width="10.85546875" style="7" customWidth="1"/>
    <col min="3" max="3" width="53.28515625" style="7" customWidth="1"/>
    <col min="4" max="4" width="9.140625" style="7"/>
    <col min="5" max="5" width="10.5703125" style="7" customWidth="1"/>
    <col min="6" max="6" width="9.85546875" style="7" customWidth="1"/>
    <col min="7" max="7" width="11.28515625" style="7" bestFit="1" customWidth="1"/>
    <col min="8" max="8" width="8.28515625" style="7" customWidth="1"/>
    <col min="9" max="9" width="11.28515625" style="7" customWidth="1"/>
    <col min="10" max="10" width="13.5703125" style="7" bestFit="1" customWidth="1"/>
    <col min="11" max="257" width="9.140625" style="7"/>
    <col min="258" max="258" width="17.5703125" style="7" customWidth="1"/>
    <col min="259" max="259" width="47.5703125" style="7" customWidth="1"/>
    <col min="260" max="260" width="9.140625" style="7"/>
    <col min="261" max="261" width="10.28515625" style="7" customWidth="1"/>
    <col min="262" max="262" width="11.7109375" style="7" customWidth="1"/>
    <col min="263" max="263" width="15.85546875" style="7" customWidth="1"/>
    <col min="264" max="513" width="9.140625" style="7"/>
    <col min="514" max="514" width="17.5703125" style="7" customWidth="1"/>
    <col min="515" max="515" width="47.5703125" style="7" customWidth="1"/>
    <col min="516" max="516" width="9.140625" style="7"/>
    <col min="517" max="517" width="10.28515625" style="7" customWidth="1"/>
    <col min="518" max="518" width="11.7109375" style="7" customWidth="1"/>
    <col min="519" max="519" width="15.85546875" style="7" customWidth="1"/>
    <col min="520" max="769" width="9.140625" style="7"/>
    <col min="770" max="770" width="17.5703125" style="7" customWidth="1"/>
    <col min="771" max="771" width="47.5703125" style="7" customWidth="1"/>
    <col min="772" max="772" width="9.140625" style="7"/>
    <col min="773" max="773" width="10.28515625" style="7" customWidth="1"/>
    <col min="774" max="774" width="11.7109375" style="7" customWidth="1"/>
    <col min="775" max="775" width="15.85546875" style="7" customWidth="1"/>
    <col min="776" max="1025" width="9.140625" style="7"/>
    <col min="1026" max="1026" width="17.5703125" style="7" customWidth="1"/>
    <col min="1027" max="1027" width="47.5703125" style="7" customWidth="1"/>
    <col min="1028" max="1028" width="9.140625" style="7"/>
    <col min="1029" max="1029" width="10.28515625" style="7" customWidth="1"/>
    <col min="1030" max="1030" width="11.7109375" style="7" customWidth="1"/>
    <col min="1031" max="1031" width="15.85546875" style="7" customWidth="1"/>
    <col min="1032" max="1281" width="9.140625" style="7"/>
    <col min="1282" max="1282" width="17.5703125" style="7" customWidth="1"/>
    <col min="1283" max="1283" width="47.5703125" style="7" customWidth="1"/>
    <col min="1284" max="1284" width="9.140625" style="7"/>
    <col min="1285" max="1285" width="10.28515625" style="7" customWidth="1"/>
    <col min="1286" max="1286" width="11.7109375" style="7" customWidth="1"/>
    <col min="1287" max="1287" width="15.85546875" style="7" customWidth="1"/>
    <col min="1288" max="1537" width="9.140625" style="7"/>
    <col min="1538" max="1538" width="17.5703125" style="7" customWidth="1"/>
    <col min="1539" max="1539" width="47.5703125" style="7" customWidth="1"/>
    <col min="1540" max="1540" width="9.140625" style="7"/>
    <col min="1541" max="1541" width="10.28515625" style="7" customWidth="1"/>
    <col min="1542" max="1542" width="11.7109375" style="7" customWidth="1"/>
    <col min="1543" max="1543" width="15.85546875" style="7" customWidth="1"/>
    <col min="1544" max="1793" width="9.140625" style="7"/>
    <col min="1794" max="1794" width="17.5703125" style="7" customWidth="1"/>
    <col min="1795" max="1795" width="47.5703125" style="7" customWidth="1"/>
    <col min="1796" max="1796" width="9.140625" style="7"/>
    <col min="1797" max="1797" width="10.28515625" style="7" customWidth="1"/>
    <col min="1798" max="1798" width="11.7109375" style="7" customWidth="1"/>
    <col min="1799" max="1799" width="15.85546875" style="7" customWidth="1"/>
    <col min="1800" max="2049" width="9.140625" style="7"/>
    <col min="2050" max="2050" width="17.5703125" style="7" customWidth="1"/>
    <col min="2051" max="2051" width="47.5703125" style="7" customWidth="1"/>
    <col min="2052" max="2052" width="9.140625" style="7"/>
    <col min="2053" max="2053" width="10.28515625" style="7" customWidth="1"/>
    <col min="2054" max="2054" width="11.7109375" style="7" customWidth="1"/>
    <col min="2055" max="2055" width="15.85546875" style="7" customWidth="1"/>
    <col min="2056" max="2305" width="9.140625" style="7"/>
    <col min="2306" max="2306" width="17.5703125" style="7" customWidth="1"/>
    <col min="2307" max="2307" width="47.5703125" style="7" customWidth="1"/>
    <col min="2308" max="2308" width="9.140625" style="7"/>
    <col min="2309" max="2309" width="10.28515625" style="7" customWidth="1"/>
    <col min="2310" max="2310" width="11.7109375" style="7" customWidth="1"/>
    <col min="2311" max="2311" width="15.85546875" style="7" customWidth="1"/>
    <col min="2312" max="2561" width="9.140625" style="7"/>
    <col min="2562" max="2562" width="17.5703125" style="7" customWidth="1"/>
    <col min="2563" max="2563" width="47.5703125" style="7" customWidth="1"/>
    <col min="2564" max="2564" width="9.140625" style="7"/>
    <col min="2565" max="2565" width="10.28515625" style="7" customWidth="1"/>
    <col min="2566" max="2566" width="11.7109375" style="7" customWidth="1"/>
    <col min="2567" max="2567" width="15.85546875" style="7" customWidth="1"/>
    <col min="2568" max="2817" width="9.140625" style="7"/>
    <col min="2818" max="2818" width="17.5703125" style="7" customWidth="1"/>
    <col min="2819" max="2819" width="47.5703125" style="7" customWidth="1"/>
    <col min="2820" max="2820" width="9.140625" style="7"/>
    <col min="2821" max="2821" width="10.28515625" style="7" customWidth="1"/>
    <col min="2822" max="2822" width="11.7109375" style="7" customWidth="1"/>
    <col min="2823" max="2823" width="15.85546875" style="7" customWidth="1"/>
    <col min="2824" max="3073" width="9.140625" style="7"/>
    <col min="3074" max="3074" width="17.5703125" style="7" customWidth="1"/>
    <col min="3075" max="3075" width="47.5703125" style="7" customWidth="1"/>
    <col min="3076" max="3076" width="9.140625" style="7"/>
    <col min="3077" max="3077" width="10.28515625" style="7" customWidth="1"/>
    <col min="3078" max="3078" width="11.7109375" style="7" customWidth="1"/>
    <col min="3079" max="3079" width="15.85546875" style="7" customWidth="1"/>
    <col min="3080" max="3329" width="9.140625" style="7"/>
    <col min="3330" max="3330" width="17.5703125" style="7" customWidth="1"/>
    <col min="3331" max="3331" width="47.5703125" style="7" customWidth="1"/>
    <col min="3332" max="3332" width="9.140625" style="7"/>
    <col min="3333" max="3333" width="10.28515625" style="7" customWidth="1"/>
    <col min="3334" max="3334" width="11.7109375" style="7" customWidth="1"/>
    <col min="3335" max="3335" width="15.85546875" style="7" customWidth="1"/>
    <col min="3336" max="3585" width="9.140625" style="7"/>
    <col min="3586" max="3586" width="17.5703125" style="7" customWidth="1"/>
    <col min="3587" max="3587" width="47.5703125" style="7" customWidth="1"/>
    <col min="3588" max="3588" width="9.140625" style="7"/>
    <col min="3589" max="3589" width="10.28515625" style="7" customWidth="1"/>
    <col min="3590" max="3590" width="11.7109375" style="7" customWidth="1"/>
    <col min="3591" max="3591" width="15.85546875" style="7" customWidth="1"/>
    <col min="3592" max="3841" width="9.140625" style="7"/>
    <col min="3842" max="3842" width="17.5703125" style="7" customWidth="1"/>
    <col min="3843" max="3843" width="47.5703125" style="7" customWidth="1"/>
    <col min="3844" max="3844" width="9.140625" style="7"/>
    <col min="3845" max="3845" width="10.28515625" style="7" customWidth="1"/>
    <col min="3846" max="3846" width="11.7109375" style="7" customWidth="1"/>
    <col min="3847" max="3847" width="15.85546875" style="7" customWidth="1"/>
    <col min="3848" max="4097" width="9.140625" style="7"/>
    <col min="4098" max="4098" width="17.5703125" style="7" customWidth="1"/>
    <col min="4099" max="4099" width="47.5703125" style="7" customWidth="1"/>
    <col min="4100" max="4100" width="9.140625" style="7"/>
    <col min="4101" max="4101" width="10.28515625" style="7" customWidth="1"/>
    <col min="4102" max="4102" width="11.7109375" style="7" customWidth="1"/>
    <col min="4103" max="4103" width="15.85546875" style="7" customWidth="1"/>
    <col min="4104" max="4353" width="9.140625" style="7"/>
    <col min="4354" max="4354" width="17.5703125" style="7" customWidth="1"/>
    <col min="4355" max="4355" width="47.5703125" style="7" customWidth="1"/>
    <col min="4356" max="4356" width="9.140625" style="7"/>
    <col min="4357" max="4357" width="10.28515625" style="7" customWidth="1"/>
    <col min="4358" max="4358" width="11.7109375" style="7" customWidth="1"/>
    <col min="4359" max="4359" width="15.85546875" style="7" customWidth="1"/>
    <col min="4360" max="4609" width="9.140625" style="7"/>
    <col min="4610" max="4610" width="17.5703125" style="7" customWidth="1"/>
    <col min="4611" max="4611" width="47.5703125" style="7" customWidth="1"/>
    <col min="4612" max="4612" width="9.140625" style="7"/>
    <col min="4613" max="4613" width="10.28515625" style="7" customWidth="1"/>
    <col min="4614" max="4614" width="11.7109375" style="7" customWidth="1"/>
    <col min="4615" max="4615" width="15.85546875" style="7" customWidth="1"/>
    <col min="4616" max="4865" width="9.140625" style="7"/>
    <col min="4866" max="4866" width="17.5703125" style="7" customWidth="1"/>
    <col min="4867" max="4867" width="47.5703125" style="7" customWidth="1"/>
    <col min="4868" max="4868" width="9.140625" style="7"/>
    <col min="4869" max="4869" width="10.28515625" style="7" customWidth="1"/>
    <col min="4870" max="4870" width="11.7109375" style="7" customWidth="1"/>
    <col min="4871" max="4871" width="15.85546875" style="7" customWidth="1"/>
    <col min="4872" max="5121" width="9.140625" style="7"/>
    <col min="5122" max="5122" width="17.5703125" style="7" customWidth="1"/>
    <col min="5123" max="5123" width="47.5703125" style="7" customWidth="1"/>
    <col min="5124" max="5124" width="9.140625" style="7"/>
    <col min="5125" max="5125" width="10.28515625" style="7" customWidth="1"/>
    <col min="5126" max="5126" width="11.7109375" style="7" customWidth="1"/>
    <col min="5127" max="5127" width="15.85546875" style="7" customWidth="1"/>
    <col min="5128" max="5377" width="9.140625" style="7"/>
    <col min="5378" max="5378" width="17.5703125" style="7" customWidth="1"/>
    <col min="5379" max="5379" width="47.5703125" style="7" customWidth="1"/>
    <col min="5380" max="5380" width="9.140625" style="7"/>
    <col min="5381" max="5381" width="10.28515625" style="7" customWidth="1"/>
    <col min="5382" max="5382" width="11.7109375" style="7" customWidth="1"/>
    <col min="5383" max="5383" width="15.85546875" style="7" customWidth="1"/>
    <col min="5384" max="5633" width="9.140625" style="7"/>
    <col min="5634" max="5634" width="17.5703125" style="7" customWidth="1"/>
    <col min="5635" max="5635" width="47.5703125" style="7" customWidth="1"/>
    <col min="5636" max="5636" width="9.140625" style="7"/>
    <col min="5637" max="5637" width="10.28515625" style="7" customWidth="1"/>
    <col min="5638" max="5638" width="11.7109375" style="7" customWidth="1"/>
    <col min="5639" max="5639" width="15.85546875" style="7" customWidth="1"/>
    <col min="5640" max="5889" width="9.140625" style="7"/>
    <col min="5890" max="5890" width="17.5703125" style="7" customWidth="1"/>
    <col min="5891" max="5891" width="47.5703125" style="7" customWidth="1"/>
    <col min="5892" max="5892" width="9.140625" style="7"/>
    <col min="5893" max="5893" width="10.28515625" style="7" customWidth="1"/>
    <col min="5894" max="5894" width="11.7109375" style="7" customWidth="1"/>
    <col min="5895" max="5895" width="15.85546875" style="7" customWidth="1"/>
    <col min="5896" max="6145" width="9.140625" style="7"/>
    <col min="6146" max="6146" width="17.5703125" style="7" customWidth="1"/>
    <col min="6147" max="6147" width="47.5703125" style="7" customWidth="1"/>
    <col min="6148" max="6148" width="9.140625" style="7"/>
    <col min="6149" max="6149" width="10.28515625" style="7" customWidth="1"/>
    <col min="6150" max="6150" width="11.7109375" style="7" customWidth="1"/>
    <col min="6151" max="6151" width="15.85546875" style="7" customWidth="1"/>
    <col min="6152" max="6401" width="9.140625" style="7"/>
    <col min="6402" max="6402" width="17.5703125" style="7" customWidth="1"/>
    <col min="6403" max="6403" width="47.5703125" style="7" customWidth="1"/>
    <col min="6404" max="6404" width="9.140625" style="7"/>
    <col min="6405" max="6405" width="10.28515625" style="7" customWidth="1"/>
    <col min="6406" max="6406" width="11.7109375" style="7" customWidth="1"/>
    <col min="6407" max="6407" width="15.85546875" style="7" customWidth="1"/>
    <col min="6408" max="6657" width="9.140625" style="7"/>
    <col min="6658" max="6658" width="17.5703125" style="7" customWidth="1"/>
    <col min="6659" max="6659" width="47.5703125" style="7" customWidth="1"/>
    <col min="6660" max="6660" width="9.140625" style="7"/>
    <col min="6661" max="6661" width="10.28515625" style="7" customWidth="1"/>
    <col min="6662" max="6662" width="11.7109375" style="7" customWidth="1"/>
    <col min="6663" max="6663" width="15.85546875" style="7" customWidth="1"/>
    <col min="6664" max="6913" width="9.140625" style="7"/>
    <col min="6914" max="6914" width="17.5703125" style="7" customWidth="1"/>
    <col min="6915" max="6915" width="47.5703125" style="7" customWidth="1"/>
    <col min="6916" max="6916" width="9.140625" style="7"/>
    <col min="6917" max="6917" width="10.28515625" style="7" customWidth="1"/>
    <col min="6918" max="6918" width="11.7109375" style="7" customWidth="1"/>
    <col min="6919" max="6919" width="15.85546875" style="7" customWidth="1"/>
    <col min="6920" max="7169" width="9.140625" style="7"/>
    <col min="7170" max="7170" width="17.5703125" style="7" customWidth="1"/>
    <col min="7171" max="7171" width="47.5703125" style="7" customWidth="1"/>
    <col min="7172" max="7172" width="9.140625" style="7"/>
    <col min="7173" max="7173" width="10.28515625" style="7" customWidth="1"/>
    <col min="7174" max="7174" width="11.7109375" style="7" customWidth="1"/>
    <col min="7175" max="7175" width="15.85546875" style="7" customWidth="1"/>
    <col min="7176" max="7425" width="9.140625" style="7"/>
    <col min="7426" max="7426" width="17.5703125" style="7" customWidth="1"/>
    <col min="7427" max="7427" width="47.5703125" style="7" customWidth="1"/>
    <col min="7428" max="7428" width="9.140625" style="7"/>
    <col min="7429" max="7429" width="10.28515625" style="7" customWidth="1"/>
    <col min="7430" max="7430" width="11.7109375" style="7" customWidth="1"/>
    <col min="7431" max="7431" width="15.85546875" style="7" customWidth="1"/>
    <col min="7432" max="7681" width="9.140625" style="7"/>
    <col min="7682" max="7682" width="17.5703125" style="7" customWidth="1"/>
    <col min="7683" max="7683" width="47.5703125" style="7" customWidth="1"/>
    <col min="7684" max="7684" width="9.140625" style="7"/>
    <col min="7685" max="7685" width="10.28515625" style="7" customWidth="1"/>
    <col min="7686" max="7686" width="11.7109375" style="7" customWidth="1"/>
    <col min="7687" max="7687" width="15.85546875" style="7" customWidth="1"/>
    <col min="7688" max="7937" width="9.140625" style="7"/>
    <col min="7938" max="7938" width="17.5703125" style="7" customWidth="1"/>
    <col min="7939" max="7939" width="47.5703125" style="7" customWidth="1"/>
    <col min="7940" max="7940" width="9.140625" style="7"/>
    <col min="7941" max="7941" width="10.28515625" style="7" customWidth="1"/>
    <col min="7942" max="7942" width="11.7109375" style="7" customWidth="1"/>
    <col min="7943" max="7943" width="15.85546875" style="7" customWidth="1"/>
    <col min="7944" max="8193" width="9.140625" style="7"/>
    <col min="8194" max="8194" width="17.5703125" style="7" customWidth="1"/>
    <col min="8195" max="8195" width="47.5703125" style="7" customWidth="1"/>
    <col min="8196" max="8196" width="9.140625" style="7"/>
    <col min="8197" max="8197" width="10.28515625" style="7" customWidth="1"/>
    <col min="8198" max="8198" width="11.7109375" style="7" customWidth="1"/>
    <col min="8199" max="8199" width="15.85546875" style="7" customWidth="1"/>
    <col min="8200" max="8449" width="9.140625" style="7"/>
    <col min="8450" max="8450" width="17.5703125" style="7" customWidth="1"/>
    <col min="8451" max="8451" width="47.5703125" style="7" customWidth="1"/>
    <col min="8452" max="8452" width="9.140625" style="7"/>
    <col min="8453" max="8453" width="10.28515625" style="7" customWidth="1"/>
    <col min="8454" max="8454" width="11.7109375" style="7" customWidth="1"/>
    <col min="8455" max="8455" width="15.85546875" style="7" customWidth="1"/>
    <col min="8456" max="8705" width="9.140625" style="7"/>
    <col min="8706" max="8706" width="17.5703125" style="7" customWidth="1"/>
    <col min="8707" max="8707" width="47.5703125" style="7" customWidth="1"/>
    <col min="8708" max="8708" width="9.140625" style="7"/>
    <col min="8709" max="8709" width="10.28515625" style="7" customWidth="1"/>
    <col min="8710" max="8710" width="11.7109375" style="7" customWidth="1"/>
    <col min="8711" max="8711" width="15.85546875" style="7" customWidth="1"/>
    <col min="8712" max="8961" width="9.140625" style="7"/>
    <col min="8962" max="8962" width="17.5703125" style="7" customWidth="1"/>
    <col min="8963" max="8963" width="47.5703125" style="7" customWidth="1"/>
    <col min="8964" max="8964" width="9.140625" style="7"/>
    <col min="8965" max="8965" width="10.28515625" style="7" customWidth="1"/>
    <col min="8966" max="8966" width="11.7109375" style="7" customWidth="1"/>
    <col min="8967" max="8967" width="15.85546875" style="7" customWidth="1"/>
    <col min="8968" max="9217" width="9.140625" style="7"/>
    <col min="9218" max="9218" width="17.5703125" style="7" customWidth="1"/>
    <col min="9219" max="9219" width="47.5703125" style="7" customWidth="1"/>
    <col min="9220" max="9220" width="9.140625" style="7"/>
    <col min="9221" max="9221" width="10.28515625" style="7" customWidth="1"/>
    <col min="9222" max="9222" width="11.7109375" style="7" customWidth="1"/>
    <col min="9223" max="9223" width="15.85546875" style="7" customWidth="1"/>
    <col min="9224" max="9473" width="9.140625" style="7"/>
    <col min="9474" max="9474" width="17.5703125" style="7" customWidth="1"/>
    <col min="9475" max="9475" width="47.5703125" style="7" customWidth="1"/>
    <col min="9476" max="9476" width="9.140625" style="7"/>
    <col min="9477" max="9477" width="10.28515625" style="7" customWidth="1"/>
    <col min="9478" max="9478" width="11.7109375" style="7" customWidth="1"/>
    <col min="9479" max="9479" width="15.85546875" style="7" customWidth="1"/>
    <col min="9480" max="9729" width="9.140625" style="7"/>
    <col min="9730" max="9730" width="17.5703125" style="7" customWidth="1"/>
    <col min="9731" max="9731" width="47.5703125" style="7" customWidth="1"/>
    <col min="9732" max="9732" width="9.140625" style="7"/>
    <col min="9733" max="9733" width="10.28515625" style="7" customWidth="1"/>
    <col min="9734" max="9734" width="11.7109375" style="7" customWidth="1"/>
    <col min="9735" max="9735" width="15.85546875" style="7" customWidth="1"/>
    <col min="9736" max="9985" width="9.140625" style="7"/>
    <col min="9986" max="9986" width="17.5703125" style="7" customWidth="1"/>
    <col min="9987" max="9987" width="47.5703125" style="7" customWidth="1"/>
    <col min="9988" max="9988" width="9.140625" style="7"/>
    <col min="9989" max="9989" width="10.28515625" style="7" customWidth="1"/>
    <col min="9990" max="9990" width="11.7109375" style="7" customWidth="1"/>
    <col min="9991" max="9991" width="15.85546875" style="7" customWidth="1"/>
    <col min="9992" max="10241" width="9.140625" style="7"/>
    <col min="10242" max="10242" width="17.5703125" style="7" customWidth="1"/>
    <col min="10243" max="10243" width="47.5703125" style="7" customWidth="1"/>
    <col min="10244" max="10244" width="9.140625" style="7"/>
    <col min="10245" max="10245" width="10.28515625" style="7" customWidth="1"/>
    <col min="10246" max="10246" width="11.7109375" style="7" customWidth="1"/>
    <col min="10247" max="10247" width="15.85546875" style="7" customWidth="1"/>
    <col min="10248" max="10497" width="9.140625" style="7"/>
    <col min="10498" max="10498" width="17.5703125" style="7" customWidth="1"/>
    <col min="10499" max="10499" width="47.5703125" style="7" customWidth="1"/>
    <col min="10500" max="10500" width="9.140625" style="7"/>
    <col min="10501" max="10501" width="10.28515625" style="7" customWidth="1"/>
    <col min="10502" max="10502" width="11.7109375" style="7" customWidth="1"/>
    <col min="10503" max="10503" width="15.85546875" style="7" customWidth="1"/>
    <col min="10504" max="10753" width="9.140625" style="7"/>
    <col min="10754" max="10754" width="17.5703125" style="7" customWidth="1"/>
    <col min="10755" max="10755" width="47.5703125" style="7" customWidth="1"/>
    <col min="10756" max="10756" width="9.140625" style="7"/>
    <col min="10757" max="10757" width="10.28515625" style="7" customWidth="1"/>
    <col min="10758" max="10758" width="11.7109375" style="7" customWidth="1"/>
    <col min="10759" max="10759" width="15.85546875" style="7" customWidth="1"/>
    <col min="10760" max="11009" width="9.140625" style="7"/>
    <col min="11010" max="11010" width="17.5703125" style="7" customWidth="1"/>
    <col min="11011" max="11011" width="47.5703125" style="7" customWidth="1"/>
    <col min="11012" max="11012" width="9.140625" style="7"/>
    <col min="11013" max="11013" width="10.28515625" style="7" customWidth="1"/>
    <col min="11014" max="11014" width="11.7109375" style="7" customWidth="1"/>
    <col min="11015" max="11015" width="15.85546875" style="7" customWidth="1"/>
    <col min="11016" max="11265" width="9.140625" style="7"/>
    <col min="11266" max="11266" width="17.5703125" style="7" customWidth="1"/>
    <col min="11267" max="11267" width="47.5703125" style="7" customWidth="1"/>
    <col min="11268" max="11268" width="9.140625" style="7"/>
    <col min="11269" max="11269" width="10.28515625" style="7" customWidth="1"/>
    <col min="11270" max="11270" width="11.7109375" style="7" customWidth="1"/>
    <col min="11271" max="11271" width="15.85546875" style="7" customWidth="1"/>
    <col min="11272" max="11521" width="9.140625" style="7"/>
    <col min="11522" max="11522" width="17.5703125" style="7" customWidth="1"/>
    <col min="11523" max="11523" width="47.5703125" style="7" customWidth="1"/>
    <col min="11524" max="11524" width="9.140625" style="7"/>
    <col min="11525" max="11525" width="10.28515625" style="7" customWidth="1"/>
    <col min="11526" max="11526" width="11.7109375" style="7" customWidth="1"/>
    <col min="11527" max="11527" width="15.85546875" style="7" customWidth="1"/>
    <col min="11528" max="11777" width="9.140625" style="7"/>
    <col min="11778" max="11778" width="17.5703125" style="7" customWidth="1"/>
    <col min="11779" max="11779" width="47.5703125" style="7" customWidth="1"/>
    <col min="11780" max="11780" width="9.140625" style="7"/>
    <col min="11781" max="11781" width="10.28515625" style="7" customWidth="1"/>
    <col min="11782" max="11782" width="11.7109375" style="7" customWidth="1"/>
    <col min="11783" max="11783" width="15.85546875" style="7" customWidth="1"/>
    <col min="11784" max="12033" width="9.140625" style="7"/>
    <col min="12034" max="12034" width="17.5703125" style="7" customWidth="1"/>
    <col min="12035" max="12035" width="47.5703125" style="7" customWidth="1"/>
    <col min="12036" max="12036" width="9.140625" style="7"/>
    <col min="12037" max="12037" width="10.28515625" style="7" customWidth="1"/>
    <col min="12038" max="12038" width="11.7109375" style="7" customWidth="1"/>
    <col min="12039" max="12039" width="15.85546875" style="7" customWidth="1"/>
    <col min="12040" max="12289" width="9.140625" style="7"/>
    <col min="12290" max="12290" width="17.5703125" style="7" customWidth="1"/>
    <col min="12291" max="12291" width="47.5703125" style="7" customWidth="1"/>
    <col min="12292" max="12292" width="9.140625" style="7"/>
    <col min="12293" max="12293" width="10.28515625" style="7" customWidth="1"/>
    <col min="12294" max="12294" width="11.7109375" style="7" customWidth="1"/>
    <col min="12295" max="12295" width="15.85546875" style="7" customWidth="1"/>
    <col min="12296" max="12545" width="9.140625" style="7"/>
    <col min="12546" max="12546" width="17.5703125" style="7" customWidth="1"/>
    <col min="12547" max="12547" width="47.5703125" style="7" customWidth="1"/>
    <col min="12548" max="12548" width="9.140625" style="7"/>
    <col min="12549" max="12549" width="10.28515625" style="7" customWidth="1"/>
    <col min="12550" max="12550" width="11.7109375" style="7" customWidth="1"/>
    <col min="12551" max="12551" width="15.85546875" style="7" customWidth="1"/>
    <col min="12552" max="12801" width="9.140625" style="7"/>
    <col min="12802" max="12802" width="17.5703125" style="7" customWidth="1"/>
    <col min="12803" max="12803" width="47.5703125" style="7" customWidth="1"/>
    <col min="12804" max="12804" width="9.140625" style="7"/>
    <col min="12805" max="12805" width="10.28515625" style="7" customWidth="1"/>
    <col min="12806" max="12806" width="11.7109375" style="7" customWidth="1"/>
    <col min="12807" max="12807" width="15.85546875" style="7" customWidth="1"/>
    <col min="12808" max="13057" width="9.140625" style="7"/>
    <col min="13058" max="13058" width="17.5703125" style="7" customWidth="1"/>
    <col min="13059" max="13059" width="47.5703125" style="7" customWidth="1"/>
    <col min="13060" max="13060" width="9.140625" style="7"/>
    <col min="13061" max="13061" width="10.28515625" style="7" customWidth="1"/>
    <col min="13062" max="13062" width="11.7109375" style="7" customWidth="1"/>
    <col min="13063" max="13063" width="15.85546875" style="7" customWidth="1"/>
    <col min="13064" max="13313" width="9.140625" style="7"/>
    <col min="13314" max="13314" width="17.5703125" style="7" customWidth="1"/>
    <col min="13315" max="13315" width="47.5703125" style="7" customWidth="1"/>
    <col min="13316" max="13316" width="9.140625" style="7"/>
    <col min="13317" max="13317" width="10.28515625" style="7" customWidth="1"/>
    <col min="13318" max="13318" width="11.7109375" style="7" customWidth="1"/>
    <col min="13319" max="13319" width="15.85546875" style="7" customWidth="1"/>
    <col min="13320" max="13569" width="9.140625" style="7"/>
    <col min="13570" max="13570" width="17.5703125" style="7" customWidth="1"/>
    <col min="13571" max="13571" width="47.5703125" style="7" customWidth="1"/>
    <col min="13572" max="13572" width="9.140625" style="7"/>
    <col min="13573" max="13573" width="10.28515625" style="7" customWidth="1"/>
    <col min="13574" max="13574" width="11.7109375" style="7" customWidth="1"/>
    <col min="13575" max="13575" width="15.85546875" style="7" customWidth="1"/>
    <col min="13576" max="13825" width="9.140625" style="7"/>
    <col min="13826" max="13826" width="17.5703125" style="7" customWidth="1"/>
    <col min="13827" max="13827" width="47.5703125" style="7" customWidth="1"/>
    <col min="13828" max="13828" width="9.140625" style="7"/>
    <col min="13829" max="13829" width="10.28515625" style="7" customWidth="1"/>
    <col min="13830" max="13830" width="11.7109375" style="7" customWidth="1"/>
    <col min="13831" max="13831" width="15.85546875" style="7" customWidth="1"/>
    <col min="13832" max="14081" width="9.140625" style="7"/>
    <col min="14082" max="14082" width="17.5703125" style="7" customWidth="1"/>
    <col min="14083" max="14083" width="47.5703125" style="7" customWidth="1"/>
    <col min="14084" max="14084" width="9.140625" style="7"/>
    <col min="14085" max="14085" width="10.28515625" style="7" customWidth="1"/>
    <col min="14086" max="14086" width="11.7109375" style="7" customWidth="1"/>
    <col min="14087" max="14087" width="15.85546875" style="7" customWidth="1"/>
    <col min="14088" max="14337" width="9.140625" style="7"/>
    <col min="14338" max="14338" width="17.5703125" style="7" customWidth="1"/>
    <col min="14339" max="14339" width="47.5703125" style="7" customWidth="1"/>
    <col min="14340" max="14340" width="9.140625" style="7"/>
    <col min="14341" max="14341" width="10.28515625" style="7" customWidth="1"/>
    <col min="14342" max="14342" width="11.7109375" style="7" customWidth="1"/>
    <col min="14343" max="14343" width="15.85546875" style="7" customWidth="1"/>
    <col min="14344" max="14593" width="9.140625" style="7"/>
    <col min="14594" max="14594" width="17.5703125" style="7" customWidth="1"/>
    <col min="14595" max="14595" width="47.5703125" style="7" customWidth="1"/>
    <col min="14596" max="14596" width="9.140625" style="7"/>
    <col min="14597" max="14597" width="10.28515625" style="7" customWidth="1"/>
    <col min="14598" max="14598" width="11.7109375" style="7" customWidth="1"/>
    <col min="14599" max="14599" width="15.85546875" style="7" customWidth="1"/>
    <col min="14600" max="14849" width="9.140625" style="7"/>
    <col min="14850" max="14850" width="17.5703125" style="7" customWidth="1"/>
    <col min="14851" max="14851" width="47.5703125" style="7" customWidth="1"/>
    <col min="14852" max="14852" width="9.140625" style="7"/>
    <col min="14853" max="14853" width="10.28515625" style="7" customWidth="1"/>
    <col min="14854" max="14854" width="11.7109375" style="7" customWidth="1"/>
    <col min="14855" max="14855" width="15.85546875" style="7" customWidth="1"/>
    <col min="14856" max="15105" width="9.140625" style="7"/>
    <col min="15106" max="15106" width="17.5703125" style="7" customWidth="1"/>
    <col min="15107" max="15107" width="47.5703125" style="7" customWidth="1"/>
    <col min="15108" max="15108" width="9.140625" style="7"/>
    <col min="15109" max="15109" width="10.28515625" style="7" customWidth="1"/>
    <col min="15110" max="15110" width="11.7109375" style="7" customWidth="1"/>
    <col min="15111" max="15111" width="15.85546875" style="7" customWidth="1"/>
    <col min="15112" max="15361" width="9.140625" style="7"/>
    <col min="15362" max="15362" width="17.5703125" style="7" customWidth="1"/>
    <col min="15363" max="15363" width="47.5703125" style="7" customWidth="1"/>
    <col min="15364" max="15364" width="9.140625" style="7"/>
    <col min="15365" max="15365" width="10.28515625" style="7" customWidth="1"/>
    <col min="15366" max="15366" width="11.7109375" style="7" customWidth="1"/>
    <col min="15367" max="15367" width="15.85546875" style="7" customWidth="1"/>
    <col min="15368" max="15617" width="9.140625" style="7"/>
    <col min="15618" max="15618" width="17.5703125" style="7" customWidth="1"/>
    <col min="15619" max="15619" width="47.5703125" style="7" customWidth="1"/>
    <col min="15620" max="15620" width="9.140625" style="7"/>
    <col min="15621" max="15621" width="10.28515625" style="7" customWidth="1"/>
    <col min="15622" max="15622" width="11.7109375" style="7" customWidth="1"/>
    <col min="15623" max="15623" width="15.85546875" style="7" customWidth="1"/>
    <col min="15624" max="15873" width="9.140625" style="7"/>
    <col min="15874" max="15874" width="17.5703125" style="7" customWidth="1"/>
    <col min="15875" max="15875" width="47.5703125" style="7" customWidth="1"/>
    <col min="15876" max="15876" width="9.140625" style="7"/>
    <col min="15877" max="15877" width="10.28515625" style="7" customWidth="1"/>
    <col min="15878" max="15878" width="11.7109375" style="7" customWidth="1"/>
    <col min="15879" max="15879" width="15.85546875" style="7" customWidth="1"/>
    <col min="15880" max="16129" width="9.140625" style="7"/>
    <col min="16130" max="16130" width="17.5703125" style="7" customWidth="1"/>
    <col min="16131" max="16131" width="47.5703125" style="7" customWidth="1"/>
    <col min="16132" max="16132" width="9.140625" style="7"/>
    <col min="16133" max="16133" width="10.28515625" style="7" customWidth="1"/>
    <col min="16134" max="16134" width="11.7109375" style="7" customWidth="1"/>
    <col min="16135" max="16135" width="15.85546875" style="7" customWidth="1"/>
    <col min="16136" max="16384" width="9.140625" style="7"/>
  </cols>
  <sheetData>
    <row r="1" spans="1:23" s="8" customFormat="1" x14ac:dyDescent="0.2">
      <c r="F1" s="7"/>
      <c r="H1" s="7"/>
    </row>
    <row r="2" spans="1:23" s="8" customFormat="1" ht="24.75" customHeight="1" x14ac:dyDescent="0.2">
      <c r="A2" s="294" t="s">
        <v>131</v>
      </c>
      <c r="B2" s="295"/>
      <c r="C2" s="295"/>
      <c r="D2" s="295"/>
      <c r="E2" s="295"/>
      <c r="F2" s="295"/>
      <c r="G2" s="295"/>
      <c r="H2" s="295"/>
      <c r="I2" s="296"/>
    </row>
    <row r="3" spans="1:23" s="8" customFormat="1" x14ac:dyDescent="0.2">
      <c r="F3" s="7"/>
      <c r="H3" s="7"/>
    </row>
    <row r="4" spans="1:23" s="16" customFormat="1" ht="12.75" customHeight="1" x14ac:dyDescent="0.2">
      <c r="A4" s="14" t="e">
        <f>#REF!</f>
        <v>#REF!</v>
      </c>
      <c r="B4" s="119"/>
      <c r="C4" s="119"/>
      <c r="D4" s="119"/>
      <c r="E4" s="119"/>
      <c r="F4" s="7"/>
      <c r="G4" s="8"/>
      <c r="H4" s="7"/>
      <c r="I4" s="8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</row>
    <row r="5" spans="1:23" s="16" customFormat="1" ht="12.75" x14ac:dyDescent="0.2">
      <c r="A5" s="14" t="e">
        <f>#REF!</f>
        <v>#REF!</v>
      </c>
      <c r="B5" s="120"/>
      <c r="C5" s="120"/>
      <c r="D5" s="120"/>
      <c r="E5" s="120"/>
      <c r="F5" s="121"/>
      <c r="H5" s="121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</row>
    <row r="6" spans="1:23" s="16" customFormat="1" ht="12.75" x14ac:dyDescent="0.2">
      <c r="A6" s="19" t="e">
        <f>#REF!</f>
        <v>#REF!</v>
      </c>
      <c r="B6" s="120"/>
      <c r="C6" s="120"/>
      <c r="D6" s="120"/>
      <c r="E6" s="120"/>
      <c r="F6" s="121"/>
      <c r="H6" s="121"/>
      <c r="L6" s="123" t="s">
        <v>132</v>
      </c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</row>
    <row r="7" spans="1:23" s="8" customFormat="1" x14ac:dyDescent="0.2">
      <c r="F7" s="7"/>
      <c r="H7" s="7"/>
    </row>
    <row r="8" spans="1:23" s="43" customFormat="1" x14ac:dyDescent="0.2">
      <c r="A8" s="280" t="s">
        <v>225</v>
      </c>
      <c r="B8" s="281"/>
      <c r="C8" s="281"/>
      <c r="D8" s="281"/>
      <c r="E8" s="281"/>
      <c r="F8" s="281"/>
      <c r="G8" s="281"/>
      <c r="H8" s="281"/>
      <c r="I8" s="282"/>
    </row>
    <row r="9" spans="1:23" s="43" customFormat="1" ht="13.5" customHeight="1" x14ac:dyDescent="0.2">
      <c r="A9" s="283"/>
      <c r="B9" s="284"/>
      <c r="C9" s="284"/>
      <c r="D9" s="284"/>
      <c r="E9" s="284"/>
      <c r="F9" s="284"/>
      <c r="G9" s="284"/>
      <c r="H9" s="284"/>
      <c r="I9" s="285"/>
    </row>
    <row r="10" spans="1:23" s="8" customFormat="1" ht="10.15" customHeight="1" x14ac:dyDescent="0.2">
      <c r="A10" s="286" t="s">
        <v>156</v>
      </c>
      <c r="B10" s="286"/>
      <c r="C10" s="124" t="s">
        <v>133</v>
      </c>
      <c r="D10" s="288"/>
      <c r="E10" s="288"/>
      <c r="F10" s="288"/>
      <c r="G10" s="288"/>
      <c r="H10" s="288"/>
      <c r="I10" s="288"/>
    </row>
    <row r="11" spans="1:23" s="8" customFormat="1" ht="11.25" customHeight="1" x14ac:dyDescent="0.2">
      <c r="A11" s="287"/>
      <c r="B11" s="287"/>
      <c r="C11" s="289" t="s">
        <v>134</v>
      </c>
      <c r="D11" s="290" t="s">
        <v>225</v>
      </c>
      <c r="E11" s="290"/>
      <c r="F11" s="290"/>
      <c r="G11" s="290"/>
      <c r="H11" s="290"/>
      <c r="I11" s="290"/>
    </row>
    <row r="12" spans="1:23" s="8" customFormat="1" ht="11.25" customHeight="1" x14ac:dyDescent="0.2">
      <c r="A12" s="287"/>
      <c r="B12" s="287"/>
      <c r="C12" s="289"/>
      <c r="D12" s="290"/>
      <c r="E12" s="290"/>
      <c r="F12" s="290"/>
      <c r="G12" s="290"/>
      <c r="H12" s="290"/>
      <c r="I12" s="290"/>
    </row>
    <row r="13" spans="1:23" s="8" customFormat="1" ht="11.25" customHeight="1" x14ac:dyDescent="0.2">
      <c r="A13" s="287"/>
      <c r="B13" s="287"/>
      <c r="C13" s="289"/>
      <c r="D13" s="290"/>
      <c r="E13" s="291"/>
      <c r="F13" s="291"/>
      <c r="G13" s="291"/>
      <c r="H13" s="291"/>
      <c r="I13" s="291"/>
    </row>
    <row r="14" spans="1:23" s="8" customFormat="1" ht="10.15" customHeight="1" x14ac:dyDescent="0.2">
      <c r="A14" s="287"/>
      <c r="B14" s="287"/>
      <c r="C14" s="125" t="s">
        <v>135</v>
      </c>
      <c r="D14" s="126" t="s">
        <v>439</v>
      </c>
      <c r="E14" s="292" t="s">
        <v>136</v>
      </c>
      <c r="F14" s="278">
        <f>G20</f>
        <v>22296.19</v>
      </c>
      <c r="G14" s="278"/>
      <c r="H14" s="279">
        <f>I20</f>
        <v>24409.65</v>
      </c>
      <c r="I14" s="279"/>
    </row>
    <row r="15" spans="1:23" s="8" customFormat="1" ht="14.45" customHeight="1" x14ac:dyDescent="0.2">
      <c r="A15" s="287"/>
      <c r="B15" s="287"/>
      <c r="C15" s="125" t="s">
        <v>137</v>
      </c>
      <c r="D15" s="126">
        <v>1</v>
      </c>
      <c r="E15" s="293"/>
      <c r="F15" s="278"/>
      <c r="G15" s="278"/>
      <c r="H15" s="279"/>
      <c r="I15" s="279"/>
      <c r="L15" s="127"/>
      <c r="M15" s="127"/>
    </row>
    <row r="16" spans="1:23" s="132" customFormat="1" ht="12" x14ac:dyDescent="0.2">
      <c r="A16" s="128"/>
      <c r="B16" s="128"/>
      <c r="C16" s="129"/>
      <c r="D16" s="130"/>
      <c r="E16" s="131"/>
      <c r="F16" s="276" t="s">
        <v>138</v>
      </c>
      <c r="G16" s="276"/>
      <c r="H16" s="277" t="s">
        <v>139</v>
      </c>
      <c r="I16" s="277"/>
    </row>
    <row r="17" spans="1:13" s="138" customFormat="1" ht="22.5" x14ac:dyDescent="0.25">
      <c r="A17" s="133" t="s">
        <v>140</v>
      </c>
      <c r="B17" s="133" t="s">
        <v>141</v>
      </c>
      <c r="C17" s="134" t="s">
        <v>92</v>
      </c>
      <c r="D17" s="135" t="s">
        <v>135</v>
      </c>
      <c r="E17" s="136" t="s">
        <v>142</v>
      </c>
      <c r="F17" s="153" t="s">
        <v>143</v>
      </c>
      <c r="G17" s="137" t="s">
        <v>144</v>
      </c>
      <c r="H17" s="154" t="s">
        <v>143</v>
      </c>
      <c r="I17" s="137" t="s">
        <v>144</v>
      </c>
    </row>
    <row r="18" spans="1:13" s="8" customFormat="1" ht="22.5" x14ac:dyDescent="0.2">
      <c r="A18" s="139" t="s">
        <v>148</v>
      </c>
      <c r="B18" s="139" t="s">
        <v>226</v>
      </c>
      <c r="C18" s="140" t="s">
        <v>228</v>
      </c>
      <c r="D18" s="141" t="s">
        <v>229</v>
      </c>
      <c r="E18" s="142">
        <f>6/4</f>
        <v>1.5</v>
      </c>
      <c r="F18" s="157" t="s">
        <v>239</v>
      </c>
      <c r="G18" s="143">
        <f>TRUNC($E18*F18,2)</f>
        <v>8866.74</v>
      </c>
      <c r="H18" s="161" t="s">
        <v>239</v>
      </c>
      <c r="I18" s="144">
        <f>TRUNC($E18*H18,2)</f>
        <v>8866.74</v>
      </c>
      <c r="L18" s="127"/>
      <c r="M18" s="127"/>
    </row>
    <row r="19" spans="1:13" s="8" customFormat="1" ht="22.5" x14ac:dyDescent="0.2">
      <c r="A19" s="139" t="s">
        <v>148</v>
      </c>
      <c r="B19" s="145" t="s">
        <v>227</v>
      </c>
      <c r="C19" s="140" t="s">
        <v>230</v>
      </c>
      <c r="D19" s="141" t="s">
        <v>229</v>
      </c>
      <c r="E19" s="142">
        <f>6/8</f>
        <v>0.75</v>
      </c>
      <c r="F19" s="157" t="s">
        <v>240</v>
      </c>
      <c r="G19" s="143">
        <f>TRUNC($E19*F19,2)</f>
        <v>13429.45</v>
      </c>
      <c r="H19" s="161" t="s">
        <v>241</v>
      </c>
      <c r="I19" s="144">
        <f>TRUNC($E19*H19,2)</f>
        <v>15542.91</v>
      </c>
      <c r="J19" s="146">
        <v>650000</v>
      </c>
      <c r="L19" s="127"/>
      <c r="M19" s="127"/>
    </row>
    <row r="20" spans="1:13" s="8" customFormat="1" ht="14.45" customHeight="1" x14ac:dyDescent="0.2">
      <c r="A20" s="147"/>
      <c r="B20" s="147"/>
      <c r="C20" s="147"/>
      <c r="D20" s="147"/>
      <c r="E20" s="147"/>
      <c r="F20" s="148" t="s">
        <v>153</v>
      </c>
      <c r="G20" s="148">
        <f>TRUNC(SUM(G18:G19),2)</f>
        <v>22296.19</v>
      </c>
      <c r="H20" s="148" t="s">
        <v>153</v>
      </c>
      <c r="I20" s="148">
        <f>TRUNC(SUM(I18:I19),2)</f>
        <v>24409.65</v>
      </c>
      <c r="J20" s="149">
        <f>J19*0.04</f>
        <v>26000</v>
      </c>
      <c r="L20" s="127"/>
      <c r="M20" s="127"/>
    </row>
    <row r="21" spans="1:13" s="8" customFormat="1" x14ac:dyDescent="0.2">
      <c r="A21" s="150"/>
      <c r="B21" s="150"/>
      <c r="C21" s="150"/>
      <c r="D21" s="150"/>
      <c r="E21" s="150"/>
      <c r="F21" s="151"/>
      <c r="G21" s="152"/>
      <c r="H21" s="151"/>
      <c r="I21" s="152"/>
    </row>
    <row r="22" spans="1:13" s="43" customFormat="1" ht="15.75" customHeight="1" x14ac:dyDescent="0.2">
      <c r="A22" s="280" t="s">
        <v>363</v>
      </c>
      <c r="B22" s="281"/>
      <c r="C22" s="281"/>
      <c r="D22" s="281"/>
      <c r="E22" s="281"/>
      <c r="F22" s="281"/>
      <c r="G22" s="281"/>
      <c r="H22" s="281"/>
      <c r="I22" s="282"/>
    </row>
    <row r="23" spans="1:13" s="43" customFormat="1" ht="13.5" customHeight="1" x14ac:dyDescent="0.2">
      <c r="A23" s="283"/>
      <c r="B23" s="284"/>
      <c r="C23" s="284"/>
      <c r="D23" s="284"/>
      <c r="E23" s="284"/>
      <c r="F23" s="284"/>
      <c r="G23" s="284"/>
      <c r="H23" s="284"/>
      <c r="I23" s="285"/>
    </row>
    <row r="24" spans="1:13" s="8" customFormat="1" ht="10.15" customHeight="1" x14ac:dyDescent="0.2">
      <c r="A24" s="286" t="s">
        <v>157</v>
      </c>
      <c r="B24" s="286"/>
      <c r="C24" s="124" t="s">
        <v>133</v>
      </c>
      <c r="D24" s="288" t="s">
        <v>364</v>
      </c>
      <c r="E24" s="288"/>
      <c r="F24" s="288"/>
      <c r="G24" s="288"/>
      <c r="H24" s="288"/>
      <c r="I24" s="288"/>
    </row>
    <row r="25" spans="1:13" s="8" customFormat="1" ht="11.25" customHeight="1" x14ac:dyDescent="0.2">
      <c r="A25" s="287"/>
      <c r="B25" s="287"/>
      <c r="C25" s="289" t="s">
        <v>134</v>
      </c>
      <c r="D25" s="290" t="s">
        <v>365</v>
      </c>
      <c r="E25" s="290"/>
      <c r="F25" s="290"/>
      <c r="G25" s="290"/>
      <c r="H25" s="290"/>
      <c r="I25" s="290"/>
    </row>
    <row r="26" spans="1:13" s="8" customFormat="1" ht="11.25" customHeight="1" x14ac:dyDescent="0.2">
      <c r="A26" s="287"/>
      <c r="B26" s="287"/>
      <c r="C26" s="289"/>
      <c r="D26" s="290"/>
      <c r="E26" s="290"/>
      <c r="F26" s="290"/>
      <c r="G26" s="290"/>
      <c r="H26" s="290"/>
      <c r="I26" s="290"/>
    </row>
    <row r="27" spans="1:13" s="8" customFormat="1" ht="11.25" customHeight="1" x14ac:dyDescent="0.2">
      <c r="A27" s="287"/>
      <c r="B27" s="287"/>
      <c r="C27" s="289"/>
      <c r="D27" s="290"/>
      <c r="E27" s="291"/>
      <c r="F27" s="291"/>
      <c r="G27" s="291"/>
      <c r="H27" s="291"/>
      <c r="I27" s="291"/>
    </row>
    <row r="28" spans="1:13" s="8" customFormat="1" ht="10.15" customHeight="1" x14ac:dyDescent="0.2">
      <c r="A28" s="287"/>
      <c r="B28" s="287"/>
      <c r="C28" s="125" t="s">
        <v>135</v>
      </c>
      <c r="D28" s="126" t="s">
        <v>102</v>
      </c>
      <c r="E28" s="292" t="s">
        <v>136</v>
      </c>
      <c r="F28" s="278">
        <f>G34</f>
        <v>74.05</v>
      </c>
      <c r="G28" s="278"/>
      <c r="H28" s="279">
        <f>I34</f>
        <v>74.73</v>
      </c>
      <c r="I28" s="279"/>
    </row>
    <row r="29" spans="1:13" s="8" customFormat="1" ht="14.45" customHeight="1" x14ac:dyDescent="0.2">
      <c r="A29" s="287"/>
      <c r="B29" s="287"/>
      <c r="C29" s="125" t="s">
        <v>137</v>
      </c>
      <c r="D29" s="126">
        <v>1</v>
      </c>
      <c r="E29" s="293"/>
      <c r="F29" s="278"/>
      <c r="G29" s="278"/>
      <c r="H29" s="279"/>
      <c r="I29" s="279"/>
      <c r="L29" s="127"/>
      <c r="M29" s="127"/>
    </row>
    <row r="30" spans="1:13" s="132" customFormat="1" ht="12" x14ac:dyDescent="0.2">
      <c r="A30" s="128"/>
      <c r="B30" s="128"/>
      <c r="C30" s="129"/>
      <c r="D30" s="130"/>
      <c r="E30" s="131"/>
      <c r="F30" s="276" t="s">
        <v>138</v>
      </c>
      <c r="G30" s="276"/>
      <c r="H30" s="277" t="s">
        <v>139</v>
      </c>
      <c r="I30" s="277"/>
    </row>
    <row r="31" spans="1:13" s="138" customFormat="1" ht="22.5" x14ac:dyDescent="0.25">
      <c r="A31" s="133" t="s">
        <v>140</v>
      </c>
      <c r="B31" s="133" t="s">
        <v>141</v>
      </c>
      <c r="C31" s="134" t="s">
        <v>92</v>
      </c>
      <c r="D31" s="135" t="s">
        <v>135</v>
      </c>
      <c r="E31" s="136" t="s">
        <v>142</v>
      </c>
      <c r="F31" s="153" t="s">
        <v>143</v>
      </c>
      <c r="G31" s="137" t="s">
        <v>144</v>
      </c>
      <c r="H31" s="154" t="s">
        <v>143</v>
      </c>
      <c r="I31" s="137" t="s">
        <v>144</v>
      </c>
    </row>
    <row r="32" spans="1:13" s="8" customFormat="1" ht="22.5" x14ac:dyDescent="0.2">
      <c r="A32" s="139" t="s">
        <v>145</v>
      </c>
      <c r="B32" s="155">
        <v>368</v>
      </c>
      <c r="C32" s="140" t="s">
        <v>366</v>
      </c>
      <c r="D32" s="141" t="s">
        <v>367</v>
      </c>
      <c r="E32" s="156">
        <v>1.05</v>
      </c>
      <c r="F32" s="157">
        <v>65</v>
      </c>
      <c r="G32" s="158">
        <f t="shared" ref="G32:G33" si="0">TRUNC($E32*F32,2)</f>
        <v>68.25</v>
      </c>
      <c r="H32" s="159">
        <v>65</v>
      </c>
      <c r="I32" s="144">
        <f t="shared" ref="I32:I33" si="1">TRUNC($E32*H32,2)</f>
        <v>68.25</v>
      </c>
      <c r="L32" s="127"/>
      <c r="M32" s="127"/>
    </row>
    <row r="33" spans="1:13" s="8" customFormat="1" ht="22.5" x14ac:dyDescent="0.2">
      <c r="A33" s="139" t="s">
        <v>148</v>
      </c>
      <c r="B33" s="155" t="s">
        <v>151</v>
      </c>
      <c r="C33" s="140" t="s">
        <v>152</v>
      </c>
      <c r="D33" s="141" t="s">
        <v>91</v>
      </c>
      <c r="E33" s="156">
        <v>0.32</v>
      </c>
      <c r="F33" s="157">
        <v>18.14</v>
      </c>
      <c r="G33" s="158">
        <f t="shared" si="0"/>
        <v>5.8</v>
      </c>
      <c r="H33" s="160">
        <v>20.28</v>
      </c>
      <c r="I33" s="144">
        <f t="shared" si="1"/>
        <v>6.48</v>
      </c>
      <c r="L33" s="127"/>
      <c r="M33" s="127"/>
    </row>
    <row r="34" spans="1:13" s="8" customFormat="1" ht="14.45" customHeight="1" x14ac:dyDescent="0.2">
      <c r="A34" s="147"/>
      <c r="B34" s="147"/>
      <c r="C34" s="147"/>
      <c r="D34" s="147"/>
      <c r="E34" s="147"/>
      <c r="F34" s="148" t="s">
        <v>153</v>
      </c>
      <c r="G34" s="148">
        <f>TRUNC(SUM(G32:G33),2)</f>
        <v>74.05</v>
      </c>
      <c r="H34" s="148" t="s">
        <v>153</v>
      </c>
      <c r="I34" s="148">
        <f>TRUNC(SUM(I32:I33),2)</f>
        <v>74.73</v>
      </c>
      <c r="J34" s="149"/>
      <c r="L34" s="127"/>
      <c r="M34" s="127"/>
    </row>
    <row r="35" spans="1:13" s="8" customFormat="1" x14ac:dyDescent="0.2">
      <c r="A35" s="150"/>
      <c r="B35" s="150"/>
      <c r="C35" s="150"/>
      <c r="D35" s="150"/>
      <c r="E35" s="150"/>
      <c r="F35" s="152"/>
      <c r="G35" s="152"/>
      <c r="H35" s="152"/>
      <c r="I35" s="152"/>
    </row>
    <row r="36" spans="1:13" s="43" customFormat="1" x14ac:dyDescent="0.2">
      <c r="A36" s="280" t="s">
        <v>185</v>
      </c>
      <c r="B36" s="281"/>
      <c r="C36" s="281"/>
      <c r="D36" s="281"/>
      <c r="E36" s="281"/>
      <c r="F36" s="281"/>
      <c r="G36" s="281"/>
      <c r="H36" s="281"/>
      <c r="I36" s="282"/>
    </row>
    <row r="37" spans="1:13" s="43" customFormat="1" ht="13.5" customHeight="1" x14ac:dyDescent="0.2">
      <c r="A37" s="283"/>
      <c r="B37" s="284"/>
      <c r="C37" s="284"/>
      <c r="D37" s="284"/>
      <c r="E37" s="284"/>
      <c r="F37" s="284"/>
      <c r="G37" s="284"/>
      <c r="H37" s="284"/>
      <c r="I37" s="285"/>
    </row>
    <row r="38" spans="1:13" s="8" customFormat="1" ht="10.15" customHeight="1" x14ac:dyDescent="0.2">
      <c r="A38" s="286" t="s">
        <v>154</v>
      </c>
      <c r="B38" s="286"/>
      <c r="C38" s="124" t="s">
        <v>133</v>
      </c>
      <c r="D38" s="288" t="s">
        <v>183</v>
      </c>
      <c r="E38" s="288"/>
      <c r="F38" s="288"/>
      <c r="G38" s="288"/>
      <c r="H38" s="288"/>
      <c r="I38" s="288"/>
    </row>
    <row r="39" spans="1:13" s="8" customFormat="1" ht="11.25" customHeight="1" x14ac:dyDescent="0.2">
      <c r="A39" s="287"/>
      <c r="B39" s="287"/>
      <c r="C39" s="289" t="s">
        <v>134</v>
      </c>
      <c r="D39" s="290" t="s">
        <v>184</v>
      </c>
      <c r="E39" s="290"/>
      <c r="F39" s="290"/>
      <c r="G39" s="290"/>
      <c r="H39" s="290"/>
      <c r="I39" s="290"/>
    </row>
    <row r="40" spans="1:13" s="8" customFormat="1" ht="11.25" customHeight="1" x14ac:dyDescent="0.2">
      <c r="A40" s="287"/>
      <c r="B40" s="287"/>
      <c r="C40" s="289"/>
      <c r="D40" s="290"/>
      <c r="E40" s="290"/>
      <c r="F40" s="290"/>
      <c r="G40" s="290"/>
      <c r="H40" s="290"/>
      <c r="I40" s="290"/>
    </row>
    <row r="41" spans="1:13" s="8" customFormat="1" ht="11.25" customHeight="1" x14ac:dyDescent="0.2">
      <c r="A41" s="287"/>
      <c r="B41" s="287"/>
      <c r="C41" s="289"/>
      <c r="D41" s="290"/>
      <c r="E41" s="291"/>
      <c r="F41" s="291"/>
      <c r="G41" s="291"/>
      <c r="H41" s="291"/>
      <c r="I41" s="291"/>
    </row>
    <row r="42" spans="1:13" s="8" customFormat="1" ht="10.15" customHeight="1" x14ac:dyDescent="0.2">
      <c r="A42" s="287"/>
      <c r="B42" s="287"/>
      <c r="C42" s="125" t="s">
        <v>135</v>
      </c>
      <c r="D42" s="126" t="s">
        <v>96</v>
      </c>
      <c r="E42" s="292" t="s">
        <v>136</v>
      </c>
      <c r="F42" s="278">
        <f>G50</f>
        <v>77.17</v>
      </c>
      <c r="G42" s="278"/>
      <c r="H42" s="279">
        <f>I50</f>
        <v>82.42</v>
      </c>
      <c r="I42" s="279"/>
    </row>
    <row r="43" spans="1:13" s="8" customFormat="1" ht="14.45" customHeight="1" x14ac:dyDescent="0.2">
      <c r="A43" s="287"/>
      <c r="B43" s="287"/>
      <c r="C43" s="125" t="s">
        <v>137</v>
      </c>
      <c r="D43" s="126">
        <v>1</v>
      </c>
      <c r="E43" s="293"/>
      <c r="F43" s="278"/>
      <c r="G43" s="278"/>
      <c r="H43" s="279"/>
      <c r="I43" s="279"/>
      <c r="L43" s="127"/>
      <c r="M43" s="127"/>
    </row>
    <row r="44" spans="1:13" s="132" customFormat="1" ht="12" x14ac:dyDescent="0.2">
      <c r="A44" s="128"/>
      <c r="B44" s="128"/>
      <c r="C44" s="129"/>
      <c r="D44" s="130"/>
      <c r="E44" s="131"/>
      <c r="F44" s="276" t="s">
        <v>138</v>
      </c>
      <c r="G44" s="276"/>
      <c r="H44" s="277" t="s">
        <v>139</v>
      </c>
      <c r="I44" s="277"/>
    </row>
    <row r="45" spans="1:13" s="138" customFormat="1" ht="22.5" x14ac:dyDescent="0.25">
      <c r="A45" s="133" t="s">
        <v>140</v>
      </c>
      <c r="B45" s="133" t="s">
        <v>141</v>
      </c>
      <c r="C45" s="134" t="s">
        <v>92</v>
      </c>
      <c r="D45" s="135" t="s">
        <v>135</v>
      </c>
      <c r="E45" s="136" t="s">
        <v>142</v>
      </c>
      <c r="F45" s="153" t="s">
        <v>143</v>
      </c>
      <c r="G45" s="137" t="s">
        <v>144</v>
      </c>
      <c r="H45" s="154" t="s">
        <v>143</v>
      </c>
      <c r="I45" s="137" t="s">
        <v>144</v>
      </c>
    </row>
    <row r="46" spans="1:13" s="8" customFormat="1" ht="22.5" x14ac:dyDescent="0.2">
      <c r="A46" s="139" t="s">
        <v>148</v>
      </c>
      <c r="B46" s="139" t="s">
        <v>186</v>
      </c>
      <c r="C46" s="140" t="s">
        <v>187</v>
      </c>
      <c r="D46" s="141" t="s">
        <v>102</v>
      </c>
      <c r="E46" s="142">
        <v>1.38E-2</v>
      </c>
      <c r="F46" s="157" t="s">
        <v>248</v>
      </c>
      <c r="G46" s="143">
        <f>TRUNC($E46*F46,2)</f>
        <v>6.86</v>
      </c>
      <c r="H46" s="161" t="s">
        <v>249</v>
      </c>
      <c r="I46" s="144">
        <f>TRUNC($E46*H46,2)</f>
        <v>7.02</v>
      </c>
      <c r="L46" s="127"/>
      <c r="M46" s="127"/>
    </row>
    <row r="47" spans="1:13" s="8" customFormat="1" ht="22.5" x14ac:dyDescent="0.2">
      <c r="A47" s="139" t="s">
        <v>148</v>
      </c>
      <c r="B47" s="145" t="s">
        <v>149</v>
      </c>
      <c r="C47" s="140" t="s">
        <v>150</v>
      </c>
      <c r="D47" s="141" t="s">
        <v>91</v>
      </c>
      <c r="E47" s="142">
        <v>1.1399999999999999</v>
      </c>
      <c r="F47" s="157">
        <v>23.69</v>
      </c>
      <c r="G47" s="143">
        <f>TRUNC($E47*F47,2)</f>
        <v>27</v>
      </c>
      <c r="H47" s="161">
        <v>26.51</v>
      </c>
      <c r="I47" s="144">
        <f>TRUNC($E47*H47,2)</f>
        <v>30.22</v>
      </c>
      <c r="L47" s="127"/>
      <c r="M47" s="127"/>
    </row>
    <row r="48" spans="1:13" s="8" customFormat="1" ht="22.5" x14ac:dyDescent="0.2">
      <c r="A48" s="139" t="s">
        <v>148</v>
      </c>
      <c r="B48" s="145" t="s">
        <v>151</v>
      </c>
      <c r="C48" s="140" t="s">
        <v>152</v>
      </c>
      <c r="D48" s="141" t="s">
        <v>91</v>
      </c>
      <c r="E48" s="142">
        <v>0.88</v>
      </c>
      <c r="F48" s="157">
        <v>19.149999999999999</v>
      </c>
      <c r="G48" s="143">
        <f>TRUNC($E48*F48,2)</f>
        <v>16.850000000000001</v>
      </c>
      <c r="H48" s="161">
        <v>21.28</v>
      </c>
      <c r="I48" s="144">
        <f>TRUNC($E48*H48,2)</f>
        <v>18.72</v>
      </c>
      <c r="L48" s="127"/>
      <c r="M48" s="127"/>
    </row>
    <row r="49" spans="1:13" s="8" customFormat="1" ht="22.5" x14ac:dyDescent="0.2">
      <c r="A49" s="139" t="s">
        <v>145</v>
      </c>
      <c r="B49" s="145" t="s">
        <v>146</v>
      </c>
      <c r="C49" s="140" t="s">
        <v>188</v>
      </c>
      <c r="D49" s="141" t="s">
        <v>147</v>
      </c>
      <c r="E49" s="142">
        <v>54</v>
      </c>
      <c r="F49" s="157">
        <v>0.49</v>
      </c>
      <c r="G49" s="143">
        <f>TRUNC($E49*F49,2)</f>
        <v>26.46</v>
      </c>
      <c r="H49" s="161">
        <v>0.49</v>
      </c>
      <c r="I49" s="144">
        <f>TRUNC($E49*H49,2)</f>
        <v>26.46</v>
      </c>
      <c r="L49" s="127"/>
      <c r="M49" s="127"/>
    </row>
    <row r="50" spans="1:13" s="8" customFormat="1" ht="14.45" customHeight="1" x14ac:dyDescent="0.2">
      <c r="A50" s="147"/>
      <c r="B50" s="147"/>
      <c r="C50" s="147"/>
      <c r="D50" s="147"/>
      <c r="E50" s="147"/>
      <c r="F50" s="148" t="s">
        <v>153</v>
      </c>
      <c r="G50" s="148">
        <f>TRUNC(SUM(G46:G49),2)</f>
        <v>77.17</v>
      </c>
      <c r="H50" s="148" t="s">
        <v>153</v>
      </c>
      <c r="I50" s="148">
        <f>TRUNC(SUM(I46:I49),2)</f>
        <v>82.42</v>
      </c>
      <c r="J50" s="149"/>
      <c r="L50" s="127"/>
      <c r="M50" s="127"/>
    </row>
    <row r="51" spans="1:13" s="8" customFormat="1" x14ac:dyDescent="0.2">
      <c r="A51" s="150"/>
      <c r="B51" s="150"/>
      <c r="C51" s="150"/>
      <c r="D51" s="150"/>
      <c r="E51" s="150"/>
      <c r="F51" s="152"/>
      <c r="G51" s="152"/>
      <c r="H51" s="152"/>
      <c r="I51" s="152"/>
    </row>
    <row r="52" spans="1:13" s="43" customFormat="1" x14ac:dyDescent="0.2">
      <c r="A52" s="280" t="s">
        <v>197</v>
      </c>
      <c r="B52" s="281"/>
      <c r="C52" s="281"/>
      <c r="D52" s="281"/>
      <c r="E52" s="281"/>
      <c r="F52" s="281"/>
      <c r="G52" s="281"/>
      <c r="H52" s="281"/>
      <c r="I52" s="282"/>
    </row>
    <row r="53" spans="1:13" s="43" customFormat="1" ht="23.25" customHeight="1" x14ac:dyDescent="0.2">
      <c r="A53" s="283"/>
      <c r="B53" s="284"/>
      <c r="C53" s="284"/>
      <c r="D53" s="284"/>
      <c r="E53" s="284"/>
      <c r="F53" s="284"/>
      <c r="G53" s="284"/>
      <c r="H53" s="284"/>
      <c r="I53" s="285"/>
    </row>
    <row r="54" spans="1:13" s="8" customFormat="1" ht="10.15" customHeight="1" x14ac:dyDescent="0.2">
      <c r="A54" s="286" t="s">
        <v>159</v>
      </c>
      <c r="B54" s="286"/>
      <c r="C54" s="124" t="s">
        <v>133</v>
      </c>
      <c r="D54" s="288" t="s">
        <v>196</v>
      </c>
      <c r="E54" s="288"/>
      <c r="F54" s="288"/>
      <c r="G54" s="288"/>
      <c r="H54" s="288"/>
      <c r="I54" s="288"/>
    </row>
    <row r="55" spans="1:13" s="8" customFormat="1" ht="11.25" customHeight="1" x14ac:dyDescent="0.2">
      <c r="A55" s="287"/>
      <c r="B55" s="287"/>
      <c r="C55" s="289" t="s">
        <v>134</v>
      </c>
      <c r="D55" s="290" t="s">
        <v>195</v>
      </c>
      <c r="E55" s="290"/>
      <c r="F55" s="290"/>
      <c r="G55" s="290"/>
      <c r="H55" s="290"/>
      <c r="I55" s="290"/>
    </row>
    <row r="56" spans="1:13" s="8" customFormat="1" ht="36" customHeight="1" x14ac:dyDescent="0.2">
      <c r="A56" s="287"/>
      <c r="B56" s="287"/>
      <c r="C56" s="289"/>
      <c r="D56" s="290"/>
      <c r="E56" s="291"/>
      <c r="F56" s="291"/>
      <c r="G56" s="291"/>
      <c r="H56" s="291"/>
      <c r="I56" s="291"/>
      <c r="L56" s="1" t="s">
        <v>162</v>
      </c>
    </row>
    <row r="57" spans="1:13" s="8" customFormat="1" ht="10.15" customHeight="1" x14ac:dyDescent="0.2">
      <c r="A57" s="287"/>
      <c r="B57" s="287"/>
      <c r="C57" s="125" t="s">
        <v>135</v>
      </c>
      <c r="D57" s="126" t="s">
        <v>98</v>
      </c>
      <c r="E57" s="292" t="s">
        <v>136</v>
      </c>
      <c r="F57" s="278">
        <f>G64</f>
        <v>43.28</v>
      </c>
      <c r="G57" s="278"/>
      <c r="H57" s="279">
        <f>I64</f>
        <v>45.7</v>
      </c>
      <c r="I57" s="279"/>
    </row>
    <row r="58" spans="1:13" s="8" customFormat="1" ht="14.45" customHeight="1" x14ac:dyDescent="0.2">
      <c r="A58" s="287"/>
      <c r="B58" s="287"/>
      <c r="C58" s="125" t="s">
        <v>137</v>
      </c>
      <c r="D58" s="126">
        <v>1</v>
      </c>
      <c r="E58" s="293"/>
      <c r="F58" s="278"/>
      <c r="G58" s="278"/>
      <c r="H58" s="279"/>
      <c r="I58" s="279"/>
      <c r="K58" s="127"/>
      <c r="L58" s="127"/>
      <c r="M58" s="127"/>
    </row>
    <row r="59" spans="1:13" s="132" customFormat="1" ht="12" x14ac:dyDescent="0.2">
      <c r="A59" s="128"/>
      <c r="B59" s="128"/>
      <c r="C59" s="129"/>
      <c r="D59" s="130"/>
      <c r="E59" s="131"/>
      <c r="F59" s="276" t="s">
        <v>138</v>
      </c>
      <c r="G59" s="276"/>
      <c r="H59" s="277" t="s">
        <v>139</v>
      </c>
      <c r="I59" s="277"/>
    </row>
    <row r="60" spans="1:13" s="138" customFormat="1" ht="22.5" x14ac:dyDescent="0.25">
      <c r="A60" s="133" t="s">
        <v>140</v>
      </c>
      <c r="B60" s="133" t="s">
        <v>141</v>
      </c>
      <c r="C60" s="134" t="s">
        <v>92</v>
      </c>
      <c r="D60" s="135" t="s">
        <v>135</v>
      </c>
      <c r="E60" s="136" t="s">
        <v>142</v>
      </c>
      <c r="F60" s="153" t="s">
        <v>143</v>
      </c>
      <c r="G60" s="162" t="s">
        <v>144</v>
      </c>
      <c r="H60" s="163" t="s">
        <v>143</v>
      </c>
      <c r="I60" s="137" t="s">
        <v>144</v>
      </c>
    </row>
    <row r="61" spans="1:13" s="8" customFormat="1" ht="22.5" x14ac:dyDescent="0.2">
      <c r="A61" s="164" t="s">
        <v>148</v>
      </c>
      <c r="B61" s="155" t="s">
        <v>193</v>
      </c>
      <c r="C61" s="140" t="s">
        <v>194</v>
      </c>
      <c r="D61" s="141" t="s">
        <v>93</v>
      </c>
      <c r="E61" s="156" t="s">
        <v>160</v>
      </c>
      <c r="F61" s="157">
        <v>6.27</v>
      </c>
      <c r="G61" s="158">
        <f>TRUNC($E61*F61,2)</f>
        <v>12.54</v>
      </c>
      <c r="H61" s="159">
        <v>6.63</v>
      </c>
      <c r="I61" s="144">
        <f>TRUNC($E61*H61,2)</f>
        <v>13.26</v>
      </c>
      <c r="L61" s="127"/>
      <c r="M61" s="127"/>
    </row>
    <row r="62" spans="1:13" s="8" customFormat="1" ht="22.5" x14ac:dyDescent="0.2">
      <c r="A62" s="164" t="s">
        <v>148</v>
      </c>
      <c r="B62" s="155" t="s">
        <v>167</v>
      </c>
      <c r="C62" s="140" t="s">
        <v>168</v>
      </c>
      <c r="D62" s="141" t="s">
        <v>93</v>
      </c>
      <c r="E62" s="156">
        <v>4</v>
      </c>
      <c r="F62" s="157">
        <v>3.75</v>
      </c>
      <c r="G62" s="158">
        <f>TRUNC($E62*F62,2)</f>
        <v>15</v>
      </c>
      <c r="H62" s="160">
        <v>3.89</v>
      </c>
      <c r="I62" s="144">
        <f>TRUNC($E62*H62,2)</f>
        <v>15.56</v>
      </c>
      <c r="L62" s="127"/>
      <c r="M62" s="127"/>
    </row>
    <row r="63" spans="1:13" s="8" customFormat="1" ht="22.5" x14ac:dyDescent="0.2">
      <c r="A63" s="164" t="s">
        <v>148</v>
      </c>
      <c r="B63" s="155" t="s">
        <v>161</v>
      </c>
      <c r="C63" s="140" t="s">
        <v>155</v>
      </c>
      <c r="D63" s="141" t="s">
        <v>98</v>
      </c>
      <c r="E63" s="156">
        <v>1</v>
      </c>
      <c r="F63" s="157">
        <v>15.74</v>
      </c>
      <c r="G63" s="158">
        <f>TRUNC($E63*F63,2)</f>
        <v>15.74</v>
      </c>
      <c r="H63" s="160">
        <v>16.88</v>
      </c>
      <c r="I63" s="144">
        <f>TRUNC($E63*H63,2)</f>
        <v>16.88</v>
      </c>
      <c r="L63" s="127"/>
      <c r="M63" s="127"/>
    </row>
    <row r="64" spans="1:13" s="8" customFormat="1" ht="14.45" customHeight="1" x14ac:dyDescent="0.2">
      <c r="A64" s="147"/>
      <c r="B64" s="147"/>
      <c r="C64" s="147"/>
      <c r="D64" s="147"/>
      <c r="E64" s="147"/>
      <c r="F64" s="148" t="s">
        <v>153</v>
      </c>
      <c r="G64" s="148">
        <f>TRUNC(SUM(G61:G63),2)</f>
        <v>43.28</v>
      </c>
      <c r="H64" s="148" t="s">
        <v>153</v>
      </c>
      <c r="I64" s="148">
        <f>TRUNC(SUM(I61:I63),2)</f>
        <v>45.7</v>
      </c>
      <c r="J64" s="149"/>
      <c r="L64" s="127"/>
      <c r="M64" s="127"/>
    </row>
    <row r="65" spans="1:13" s="8" customFormat="1" x14ac:dyDescent="0.2">
      <c r="A65" s="165"/>
      <c r="B65" s="152"/>
      <c r="C65" s="152"/>
      <c r="D65" s="152"/>
      <c r="E65" s="152"/>
      <c r="F65" s="152"/>
      <c r="G65" s="152"/>
      <c r="H65" s="152"/>
      <c r="I65" s="166"/>
    </row>
    <row r="66" spans="1:13" s="54" customFormat="1" x14ac:dyDescent="0.2">
      <c r="A66" s="280" t="s">
        <v>370</v>
      </c>
      <c r="B66" s="281"/>
      <c r="C66" s="281"/>
      <c r="D66" s="281"/>
      <c r="E66" s="281"/>
      <c r="F66" s="281"/>
      <c r="G66" s="281"/>
      <c r="H66" s="281"/>
      <c r="I66" s="282"/>
    </row>
    <row r="67" spans="1:13" s="54" customFormat="1" ht="23.25" customHeight="1" x14ac:dyDescent="0.2">
      <c r="A67" s="283"/>
      <c r="B67" s="284"/>
      <c r="C67" s="284"/>
      <c r="D67" s="284"/>
      <c r="E67" s="284"/>
      <c r="F67" s="284"/>
      <c r="G67" s="284"/>
      <c r="H67" s="284"/>
      <c r="I67" s="285"/>
    </row>
    <row r="68" spans="1:13" s="8" customFormat="1" ht="10.15" customHeight="1" x14ac:dyDescent="0.2">
      <c r="A68" s="286" t="s">
        <v>163</v>
      </c>
      <c r="B68" s="286"/>
      <c r="C68" s="124" t="s">
        <v>133</v>
      </c>
      <c r="D68" s="288" t="s">
        <v>372</v>
      </c>
      <c r="E68" s="288"/>
      <c r="F68" s="288"/>
      <c r="G68" s="288"/>
      <c r="H68" s="288"/>
      <c r="I68" s="288"/>
    </row>
    <row r="69" spans="1:13" s="8" customFormat="1" ht="11.25" customHeight="1" x14ac:dyDescent="0.2">
      <c r="A69" s="287"/>
      <c r="B69" s="287"/>
      <c r="C69" s="289" t="s">
        <v>134</v>
      </c>
      <c r="D69" s="290" t="s">
        <v>371</v>
      </c>
      <c r="E69" s="290"/>
      <c r="F69" s="290"/>
      <c r="G69" s="290"/>
      <c r="H69" s="290"/>
      <c r="I69" s="290"/>
    </row>
    <row r="70" spans="1:13" s="8" customFormat="1" ht="36" customHeight="1" x14ac:dyDescent="0.2">
      <c r="A70" s="287"/>
      <c r="B70" s="287"/>
      <c r="C70" s="289"/>
      <c r="D70" s="290"/>
      <c r="E70" s="291"/>
      <c r="F70" s="291"/>
      <c r="G70" s="291"/>
      <c r="H70" s="291"/>
      <c r="I70" s="291"/>
      <c r="L70" s="1" t="s">
        <v>162</v>
      </c>
    </row>
    <row r="71" spans="1:13" s="8" customFormat="1" ht="10.15" customHeight="1" x14ac:dyDescent="0.2">
      <c r="A71" s="287"/>
      <c r="B71" s="287"/>
      <c r="C71" s="125" t="s">
        <v>135</v>
      </c>
      <c r="D71" s="126" t="s">
        <v>93</v>
      </c>
      <c r="E71" s="292" t="s">
        <v>136</v>
      </c>
      <c r="F71" s="278">
        <f>G80</f>
        <v>17.420000000000002</v>
      </c>
      <c r="G71" s="278"/>
      <c r="H71" s="279">
        <f>I80</f>
        <v>18.82</v>
      </c>
      <c r="I71" s="279"/>
    </row>
    <row r="72" spans="1:13" s="8" customFormat="1" ht="14.45" customHeight="1" x14ac:dyDescent="0.2">
      <c r="A72" s="287"/>
      <c r="B72" s="287"/>
      <c r="C72" s="125" t="s">
        <v>137</v>
      </c>
      <c r="D72" s="126">
        <v>1</v>
      </c>
      <c r="E72" s="293"/>
      <c r="F72" s="278"/>
      <c r="G72" s="278"/>
      <c r="H72" s="279"/>
      <c r="I72" s="279"/>
      <c r="K72" s="127"/>
      <c r="L72" s="127"/>
      <c r="M72" s="127"/>
    </row>
    <row r="73" spans="1:13" s="132" customFormat="1" ht="12" x14ac:dyDescent="0.2">
      <c r="A73" s="128"/>
      <c r="B73" s="128"/>
      <c r="C73" s="129"/>
      <c r="D73" s="130"/>
      <c r="E73" s="131"/>
      <c r="F73" s="276" t="s">
        <v>138</v>
      </c>
      <c r="G73" s="276"/>
      <c r="H73" s="277" t="s">
        <v>139</v>
      </c>
      <c r="I73" s="277"/>
    </row>
    <row r="74" spans="1:13" s="138" customFormat="1" ht="22.5" x14ac:dyDescent="0.25">
      <c r="A74" s="133" t="s">
        <v>140</v>
      </c>
      <c r="B74" s="133" t="s">
        <v>141</v>
      </c>
      <c r="C74" s="134" t="s">
        <v>92</v>
      </c>
      <c r="D74" s="135" t="s">
        <v>135</v>
      </c>
      <c r="E74" s="136" t="s">
        <v>142</v>
      </c>
      <c r="F74" s="153" t="s">
        <v>143</v>
      </c>
      <c r="G74" s="162" t="s">
        <v>144</v>
      </c>
      <c r="H74" s="163" t="s">
        <v>143</v>
      </c>
      <c r="I74" s="137" t="s">
        <v>144</v>
      </c>
    </row>
    <row r="75" spans="1:13" s="8" customFormat="1" ht="22.5" x14ac:dyDescent="0.2">
      <c r="A75" s="164" t="s">
        <v>148</v>
      </c>
      <c r="B75" s="155">
        <v>93358</v>
      </c>
      <c r="C75" s="140" t="s">
        <v>323</v>
      </c>
      <c r="D75" s="141" t="s">
        <v>102</v>
      </c>
      <c r="E75" s="156">
        <v>8.0000000000000016E-2</v>
      </c>
      <c r="F75" s="157">
        <v>71.760000000000005</v>
      </c>
      <c r="G75" s="158">
        <f t="shared" ref="G75:G79" si="2">TRUNC($E75*F75,2)</f>
        <v>5.74</v>
      </c>
      <c r="H75" s="159">
        <v>80.22</v>
      </c>
      <c r="I75" s="144">
        <f>TRUNC($E75*H75,2)</f>
        <v>6.41</v>
      </c>
      <c r="L75" s="127"/>
      <c r="M75" s="127"/>
    </row>
    <row r="76" spans="1:13" s="8" customFormat="1" ht="22.5" x14ac:dyDescent="0.2">
      <c r="A76" s="164" t="s">
        <v>148</v>
      </c>
      <c r="B76" s="155" t="s">
        <v>242</v>
      </c>
      <c r="C76" s="140" t="s">
        <v>243</v>
      </c>
      <c r="D76" s="141" t="s">
        <v>102</v>
      </c>
      <c r="E76" s="156">
        <v>7.0000000000000007E-2</v>
      </c>
      <c r="F76" s="157">
        <v>18.54</v>
      </c>
      <c r="G76" s="158">
        <f t="shared" si="2"/>
        <v>1.29</v>
      </c>
      <c r="H76" s="160">
        <v>20.440000000000001</v>
      </c>
      <c r="I76" s="144">
        <f t="shared" ref="I76:I79" si="3">TRUNC($E76*H76,2)</f>
        <v>1.43</v>
      </c>
      <c r="L76" s="127"/>
      <c r="M76" s="127"/>
    </row>
    <row r="77" spans="1:13" s="8" customFormat="1" ht="22.5" x14ac:dyDescent="0.2">
      <c r="A77" s="167" t="s">
        <v>145</v>
      </c>
      <c r="B77" s="155" t="s">
        <v>373</v>
      </c>
      <c r="C77" s="140" t="s">
        <v>376</v>
      </c>
      <c r="D77" s="141" t="s">
        <v>202</v>
      </c>
      <c r="E77" s="156">
        <v>1.1000000000000001</v>
      </c>
      <c r="F77" s="157">
        <v>5.16</v>
      </c>
      <c r="G77" s="158">
        <f t="shared" si="2"/>
        <v>5.67</v>
      </c>
      <c r="H77" s="160">
        <v>5.16</v>
      </c>
      <c r="I77" s="144">
        <f t="shared" si="3"/>
        <v>5.67</v>
      </c>
      <c r="L77" s="127"/>
      <c r="M77" s="127"/>
    </row>
    <row r="78" spans="1:13" s="8" customFormat="1" ht="22.5" x14ac:dyDescent="0.2">
      <c r="A78" s="164" t="s">
        <v>148</v>
      </c>
      <c r="B78" s="155" t="s">
        <v>374</v>
      </c>
      <c r="C78" s="140" t="s">
        <v>377</v>
      </c>
      <c r="D78" s="141" t="s">
        <v>91</v>
      </c>
      <c r="E78" s="156">
        <v>0.112</v>
      </c>
      <c r="F78" s="157">
        <v>19.329999999999998</v>
      </c>
      <c r="G78" s="158">
        <f t="shared" si="2"/>
        <v>2.16</v>
      </c>
      <c r="H78" s="160">
        <v>21.63</v>
      </c>
      <c r="I78" s="144">
        <f t="shared" si="3"/>
        <v>2.42</v>
      </c>
      <c r="L78" s="127"/>
      <c r="M78" s="127"/>
    </row>
    <row r="79" spans="1:13" s="8" customFormat="1" ht="22.5" x14ac:dyDescent="0.2">
      <c r="A79" s="164" t="s">
        <v>148</v>
      </c>
      <c r="B79" s="155" t="s">
        <v>375</v>
      </c>
      <c r="C79" s="140" t="s">
        <v>378</v>
      </c>
      <c r="D79" s="141" t="s">
        <v>91</v>
      </c>
      <c r="E79" s="156">
        <v>0.112</v>
      </c>
      <c r="F79" s="157">
        <v>22.93</v>
      </c>
      <c r="G79" s="158">
        <f t="shared" si="2"/>
        <v>2.56</v>
      </c>
      <c r="H79" s="160">
        <v>25.82</v>
      </c>
      <c r="I79" s="144">
        <f t="shared" si="3"/>
        <v>2.89</v>
      </c>
      <c r="L79" s="127"/>
      <c r="M79" s="127"/>
    </row>
    <row r="80" spans="1:13" s="8" customFormat="1" ht="14.45" customHeight="1" x14ac:dyDescent="0.2">
      <c r="A80" s="147"/>
      <c r="B80" s="147"/>
      <c r="C80" s="147"/>
      <c r="D80" s="147"/>
      <c r="E80" s="147"/>
      <c r="F80" s="148" t="s">
        <v>153</v>
      </c>
      <c r="G80" s="148">
        <f>TRUNC(SUM(G75:G79),2)</f>
        <v>17.420000000000002</v>
      </c>
      <c r="H80" s="148" t="s">
        <v>153</v>
      </c>
      <c r="I80" s="148">
        <f>TRUNC(SUM(I75:I79),2)</f>
        <v>18.82</v>
      </c>
      <c r="J80" s="149"/>
      <c r="L80" s="127"/>
      <c r="M80" s="127"/>
    </row>
    <row r="81" spans="1:13" s="8" customFormat="1" x14ac:dyDescent="0.2">
      <c r="A81" s="165"/>
      <c r="B81" s="152"/>
      <c r="C81" s="152"/>
      <c r="D81" s="152"/>
      <c r="E81" s="152"/>
      <c r="F81" s="152"/>
      <c r="G81" s="152"/>
      <c r="H81" s="152"/>
      <c r="I81" s="166"/>
    </row>
    <row r="82" spans="1:13" s="43" customFormat="1" ht="17.25" customHeight="1" x14ac:dyDescent="0.2">
      <c r="A82" s="280" t="s">
        <v>393</v>
      </c>
      <c r="B82" s="281"/>
      <c r="C82" s="281"/>
      <c r="D82" s="281"/>
      <c r="E82" s="281"/>
      <c r="F82" s="281"/>
      <c r="G82" s="281"/>
      <c r="H82" s="281"/>
      <c r="I82" s="282"/>
      <c r="J82" s="196"/>
      <c r="K82" s="196"/>
      <c r="L82" s="196"/>
      <c r="M82" s="196"/>
    </row>
    <row r="83" spans="1:13" s="43" customFormat="1" ht="27.75" customHeight="1" x14ac:dyDescent="0.2">
      <c r="A83" s="283"/>
      <c r="B83" s="284"/>
      <c r="C83" s="284"/>
      <c r="D83" s="284"/>
      <c r="E83" s="284"/>
      <c r="F83" s="284"/>
      <c r="G83" s="284"/>
      <c r="H83" s="284"/>
      <c r="I83" s="285"/>
      <c r="J83" s="196" t="s">
        <v>117</v>
      </c>
      <c r="K83" s="196"/>
      <c r="L83" s="196"/>
      <c r="M83" s="196"/>
    </row>
    <row r="84" spans="1:13" s="8" customFormat="1" ht="12.75" x14ac:dyDescent="0.2">
      <c r="A84" s="297" t="s">
        <v>164</v>
      </c>
      <c r="B84" s="298"/>
      <c r="C84" s="124" t="s">
        <v>198</v>
      </c>
      <c r="D84" s="288" t="s">
        <v>392</v>
      </c>
      <c r="E84" s="288"/>
      <c r="F84" s="288"/>
      <c r="G84" s="288"/>
      <c r="H84" s="288"/>
      <c r="I84" s="301"/>
      <c r="J84" s="16"/>
      <c r="K84" s="16"/>
      <c r="L84" s="16"/>
      <c r="M84" s="16"/>
    </row>
    <row r="85" spans="1:13" s="8" customFormat="1" ht="12.75" customHeight="1" x14ac:dyDescent="0.2">
      <c r="A85" s="299"/>
      <c r="B85" s="300"/>
      <c r="C85" s="289" t="s">
        <v>134</v>
      </c>
      <c r="D85" s="290" t="s">
        <v>394</v>
      </c>
      <c r="E85" s="290"/>
      <c r="F85" s="290"/>
      <c r="G85" s="290"/>
      <c r="H85" s="290"/>
      <c r="I85" s="290"/>
      <c r="J85" s="16"/>
      <c r="K85" s="16"/>
      <c r="L85" s="16"/>
      <c r="M85" s="16"/>
    </row>
    <row r="86" spans="1:13" s="8" customFormat="1" ht="12.75" x14ac:dyDescent="0.2">
      <c r="A86" s="299"/>
      <c r="B86" s="300"/>
      <c r="C86" s="289"/>
      <c r="D86" s="290"/>
      <c r="E86" s="291"/>
      <c r="F86" s="291"/>
      <c r="G86" s="291"/>
      <c r="H86" s="291"/>
      <c r="I86" s="291"/>
      <c r="J86" s="16"/>
      <c r="K86" s="16"/>
      <c r="L86" s="16"/>
      <c r="M86" s="16"/>
    </row>
    <row r="87" spans="1:13" s="8" customFormat="1" ht="12.75" x14ac:dyDescent="0.2">
      <c r="A87" s="299"/>
      <c r="B87" s="300"/>
      <c r="C87" s="125" t="s">
        <v>199</v>
      </c>
      <c r="D87" s="126" t="s">
        <v>98</v>
      </c>
      <c r="E87" s="302" t="s">
        <v>200</v>
      </c>
      <c r="F87" s="278">
        <f>G97</f>
        <v>2346.09</v>
      </c>
      <c r="G87" s="278"/>
      <c r="H87" s="279">
        <f>I97</f>
        <v>2354.15</v>
      </c>
      <c r="I87" s="279"/>
      <c r="J87" s="16"/>
      <c r="K87" s="16"/>
      <c r="L87" s="16"/>
      <c r="M87" s="16"/>
    </row>
    <row r="88" spans="1:13" s="8" customFormat="1" ht="12.75" x14ac:dyDescent="0.2">
      <c r="A88" s="299"/>
      <c r="B88" s="300"/>
      <c r="C88" s="125" t="s">
        <v>201</v>
      </c>
      <c r="D88" s="126">
        <v>1</v>
      </c>
      <c r="E88" s="302"/>
      <c r="F88" s="278"/>
      <c r="G88" s="278"/>
      <c r="H88" s="279"/>
      <c r="I88" s="279"/>
      <c r="J88" s="16"/>
      <c r="K88" s="168"/>
      <c r="L88" s="168"/>
      <c r="M88" s="16"/>
    </row>
    <row r="89" spans="1:13" s="132" customFormat="1" ht="12.75" x14ac:dyDescent="0.2">
      <c r="A89" s="169"/>
      <c r="B89" s="128"/>
      <c r="C89" s="129"/>
      <c r="D89" s="130"/>
      <c r="E89" s="170"/>
      <c r="F89" s="276" t="s">
        <v>138</v>
      </c>
      <c r="G89" s="276"/>
      <c r="H89" s="277" t="s">
        <v>139</v>
      </c>
      <c r="I89" s="277"/>
      <c r="J89" s="16"/>
      <c r="K89" s="16"/>
      <c r="L89" s="16"/>
      <c r="M89" s="16"/>
    </row>
    <row r="90" spans="1:13" s="138" customFormat="1" ht="22.5" x14ac:dyDescent="0.25">
      <c r="A90" s="171" t="s">
        <v>140</v>
      </c>
      <c r="B90" s="133" t="s">
        <v>141</v>
      </c>
      <c r="C90" s="134" t="s">
        <v>92</v>
      </c>
      <c r="D90" s="135" t="s">
        <v>135</v>
      </c>
      <c r="E90" s="136" t="s">
        <v>142</v>
      </c>
      <c r="F90" s="172" t="s">
        <v>143</v>
      </c>
      <c r="G90" s="173" t="s">
        <v>144</v>
      </c>
      <c r="H90" s="174" t="s">
        <v>143</v>
      </c>
      <c r="I90" s="175" t="s">
        <v>144</v>
      </c>
      <c r="J90" s="176"/>
      <c r="K90" s="176"/>
      <c r="L90" s="176"/>
      <c r="M90" s="176"/>
    </row>
    <row r="91" spans="1:13" s="8" customFormat="1" ht="12.75" x14ac:dyDescent="0.2">
      <c r="A91" s="167" t="s">
        <v>207</v>
      </c>
      <c r="B91" s="145" t="s">
        <v>384</v>
      </c>
      <c r="C91" s="140" t="s">
        <v>389</v>
      </c>
      <c r="D91" s="141" t="s">
        <v>147</v>
      </c>
      <c r="E91" s="142">
        <v>2</v>
      </c>
      <c r="F91" s="177">
        <v>32.42</v>
      </c>
      <c r="G91" s="144">
        <f t="shared" ref="G91:G96" si="4">TRUNC($E91*F91,2)</f>
        <v>64.84</v>
      </c>
      <c r="H91" s="159">
        <v>32.42</v>
      </c>
      <c r="I91" s="144">
        <f t="shared" ref="I91:I96" si="5">TRUNC($E91*H91,2)</f>
        <v>64.84</v>
      </c>
      <c r="J91" s="16"/>
      <c r="K91" s="168"/>
      <c r="L91" s="168"/>
      <c r="M91" s="16"/>
    </row>
    <row r="92" spans="1:13" s="8" customFormat="1" ht="45" x14ac:dyDescent="0.2">
      <c r="A92" s="167" t="s">
        <v>48</v>
      </c>
      <c r="B92" s="145" t="s">
        <v>385</v>
      </c>
      <c r="C92" s="140" t="s">
        <v>386</v>
      </c>
      <c r="D92" s="141" t="s">
        <v>387</v>
      </c>
      <c r="E92" s="142">
        <v>0.18</v>
      </c>
      <c r="F92" s="177">
        <v>270.04000000000002</v>
      </c>
      <c r="G92" s="144">
        <f t="shared" si="4"/>
        <v>48.6</v>
      </c>
      <c r="H92" s="159">
        <v>273.2</v>
      </c>
      <c r="I92" s="144">
        <f t="shared" si="5"/>
        <v>49.17</v>
      </c>
      <c r="J92" s="16"/>
      <c r="K92" s="168"/>
      <c r="L92" s="168"/>
      <c r="M92" s="16"/>
    </row>
    <row r="93" spans="1:13" s="8" customFormat="1" ht="22.5" x14ac:dyDescent="0.2">
      <c r="A93" s="167" t="s">
        <v>207</v>
      </c>
      <c r="B93" s="145" t="s">
        <v>390</v>
      </c>
      <c r="C93" s="2" t="s">
        <v>391</v>
      </c>
      <c r="D93" s="141" t="s">
        <v>147</v>
      </c>
      <c r="E93" s="142">
        <v>1</v>
      </c>
      <c r="F93" s="177">
        <v>2044.8</v>
      </c>
      <c r="G93" s="144">
        <f t="shared" si="4"/>
        <v>2044.8</v>
      </c>
      <c r="H93" s="159">
        <v>2044.8</v>
      </c>
      <c r="I93" s="144">
        <f t="shared" si="5"/>
        <v>2044.8</v>
      </c>
      <c r="J93" s="16"/>
      <c r="K93" s="168"/>
      <c r="L93" s="168"/>
      <c r="M93" s="16"/>
    </row>
    <row r="94" spans="1:13" s="8" customFormat="1" ht="22.5" x14ac:dyDescent="0.2">
      <c r="A94" s="167" t="s">
        <v>207</v>
      </c>
      <c r="B94" s="145" t="s">
        <v>383</v>
      </c>
      <c r="C94" s="140" t="s">
        <v>388</v>
      </c>
      <c r="D94" s="141" t="s">
        <v>147</v>
      </c>
      <c r="E94" s="142">
        <v>1</v>
      </c>
      <c r="F94" s="177">
        <v>127.68</v>
      </c>
      <c r="G94" s="144">
        <f>TRUNC($E94*F94,2)</f>
        <v>127.68</v>
      </c>
      <c r="H94" s="159">
        <v>127.68</v>
      </c>
      <c r="I94" s="144">
        <f>TRUNC($E94*H94,2)</f>
        <v>127.68</v>
      </c>
      <c r="J94" s="16"/>
      <c r="K94" s="168"/>
      <c r="L94" s="168"/>
      <c r="M94" s="16"/>
    </row>
    <row r="95" spans="1:13" s="8" customFormat="1" ht="12.75" x14ac:dyDescent="0.2">
      <c r="A95" s="167" t="s">
        <v>48</v>
      </c>
      <c r="B95" s="145" t="s">
        <v>374</v>
      </c>
      <c r="C95" s="140" t="s">
        <v>377</v>
      </c>
      <c r="D95" s="141" t="s">
        <v>91</v>
      </c>
      <c r="E95" s="142">
        <v>0.64100000000000001</v>
      </c>
      <c r="F95" s="177">
        <v>19.329999999999998</v>
      </c>
      <c r="G95" s="144">
        <f t="shared" si="4"/>
        <v>12.39</v>
      </c>
      <c r="H95" s="159">
        <v>21.63</v>
      </c>
      <c r="I95" s="144">
        <f t="shared" si="5"/>
        <v>13.86</v>
      </c>
      <c r="J95" s="16"/>
      <c r="K95" s="168"/>
      <c r="L95" s="168"/>
      <c r="M95" s="16"/>
    </row>
    <row r="96" spans="1:13" s="8" customFormat="1" ht="12.75" x14ac:dyDescent="0.2">
      <c r="A96" s="167" t="s">
        <v>48</v>
      </c>
      <c r="B96" s="145" t="s">
        <v>375</v>
      </c>
      <c r="C96" s="140" t="s">
        <v>378</v>
      </c>
      <c r="D96" s="141" t="s">
        <v>91</v>
      </c>
      <c r="E96" s="142">
        <v>2.0840000000000001</v>
      </c>
      <c r="F96" s="177">
        <v>22.93</v>
      </c>
      <c r="G96" s="144">
        <f t="shared" si="4"/>
        <v>47.78</v>
      </c>
      <c r="H96" s="159">
        <v>25.82</v>
      </c>
      <c r="I96" s="144">
        <f t="shared" si="5"/>
        <v>53.8</v>
      </c>
      <c r="J96" s="16"/>
      <c r="K96" s="168"/>
      <c r="L96" s="168"/>
      <c r="M96" s="16"/>
    </row>
    <row r="97" spans="1:13" s="8" customFormat="1" ht="12.75" x14ac:dyDescent="0.2">
      <c r="A97" s="178"/>
      <c r="B97" s="179"/>
      <c r="C97" s="179"/>
      <c r="D97" s="179"/>
      <c r="E97" s="180"/>
      <c r="F97" s="148" t="s">
        <v>153</v>
      </c>
      <c r="G97" s="148">
        <f>TRUNC(SUM(G91:G96),2)</f>
        <v>2346.09</v>
      </c>
      <c r="H97" s="148" t="s">
        <v>153</v>
      </c>
      <c r="I97" s="148">
        <f>TRUNC(SUM(I91:I96),2)</f>
        <v>2354.15</v>
      </c>
      <c r="J97" s="16"/>
      <c r="K97" s="168"/>
      <c r="L97" s="168"/>
      <c r="M97" s="16"/>
    </row>
    <row r="98" spans="1:13" s="8" customFormat="1" ht="12.75" x14ac:dyDescent="0.2">
      <c r="J98" s="16"/>
      <c r="K98" s="16"/>
      <c r="L98" s="16"/>
      <c r="M98" s="16"/>
    </row>
    <row r="99" spans="1:13" s="43" customFormat="1" ht="12.75" customHeight="1" x14ac:dyDescent="0.2">
      <c r="A99" s="280" t="s">
        <v>339</v>
      </c>
      <c r="B99" s="281"/>
      <c r="C99" s="281"/>
      <c r="D99" s="281"/>
      <c r="E99" s="281"/>
      <c r="F99" s="281"/>
      <c r="G99" s="281"/>
      <c r="H99" s="281"/>
      <c r="I99" s="282"/>
      <c r="J99" s="196"/>
      <c r="K99" s="196"/>
      <c r="L99" s="196"/>
      <c r="M99" s="196"/>
    </row>
    <row r="100" spans="1:13" s="43" customFormat="1" ht="12.75" customHeight="1" x14ac:dyDescent="0.2">
      <c r="A100" s="283"/>
      <c r="B100" s="284"/>
      <c r="C100" s="284"/>
      <c r="D100" s="284"/>
      <c r="E100" s="284"/>
      <c r="F100" s="284"/>
      <c r="G100" s="284"/>
      <c r="H100" s="284"/>
      <c r="I100" s="285"/>
      <c r="J100" s="196"/>
      <c r="K100" s="196"/>
      <c r="L100" s="196"/>
      <c r="M100" s="196"/>
    </row>
    <row r="101" spans="1:13" s="8" customFormat="1" ht="12.75" x14ac:dyDescent="0.2">
      <c r="A101" s="297" t="s">
        <v>165</v>
      </c>
      <c r="B101" s="298"/>
      <c r="C101" s="124" t="s">
        <v>198</v>
      </c>
      <c r="D101" s="288" t="s">
        <v>203</v>
      </c>
      <c r="E101" s="288"/>
      <c r="F101" s="288"/>
      <c r="G101" s="288"/>
      <c r="H101" s="288"/>
      <c r="I101" s="301"/>
      <c r="J101" s="16"/>
      <c r="K101" s="16"/>
      <c r="L101" s="16"/>
      <c r="M101" s="16"/>
    </row>
    <row r="102" spans="1:13" s="8" customFormat="1" ht="12.75" customHeight="1" x14ac:dyDescent="0.2">
      <c r="A102" s="299"/>
      <c r="B102" s="300"/>
      <c r="C102" s="289" t="s">
        <v>134</v>
      </c>
      <c r="D102" s="290" t="s">
        <v>204</v>
      </c>
      <c r="E102" s="290"/>
      <c r="F102" s="290"/>
      <c r="G102" s="290"/>
      <c r="H102" s="290"/>
      <c r="I102" s="290"/>
      <c r="J102" s="16"/>
      <c r="K102" s="16"/>
      <c r="L102" s="16"/>
      <c r="M102" s="16"/>
    </row>
    <row r="103" spans="1:13" s="8" customFormat="1" ht="22.5" customHeight="1" x14ac:dyDescent="0.2">
      <c r="A103" s="299"/>
      <c r="B103" s="300"/>
      <c r="C103" s="289"/>
      <c r="D103" s="290"/>
      <c r="E103" s="291"/>
      <c r="F103" s="291"/>
      <c r="G103" s="291"/>
      <c r="H103" s="291"/>
      <c r="I103" s="291"/>
      <c r="J103" s="16"/>
      <c r="K103" s="16"/>
      <c r="L103" s="16"/>
      <c r="M103" s="16"/>
    </row>
    <row r="104" spans="1:13" s="8" customFormat="1" ht="12.75" x14ac:dyDescent="0.2">
      <c r="A104" s="299"/>
      <c r="B104" s="300"/>
      <c r="C104" s="125" t="s">
        <v>199</v>
      </c>
      <c r="D104" s="126" t="s">
        <v>98</v>
      </c>
      <c r="E104" s="302" t="s">
        <v>200</v>
      </c>
      <c r="F104" s="278">
        <f>G122</f>
        <v>893.32</v>
      </c>
      <c r="G104" s="278"/>
      <c r="H104" s="279">
        <f>I122</f>
        <v>928.11</v>
      </c>
      <c r="I104" s="279"/>
      <c r="J104" s="16"/>
      <c r="K104" s="16"/>
      <c r="L104" s="16"/>
      <c r="M104" s="16"/>
    </row>
    <row r="105" spans="1:13" s="8" customFormat="1" ht="12.75" x14ac:dyDescent="0.2">
      <c r="A105" s="299"/>
      <c r="B105" s="300"/>
      <c r="C105" s="125" t="s">
        <v>201</v>
      </c>
      <c r="D105" s="126">
        <v>1</v>
      </c>
      <c r="E105" s="302"/>
      <c r="F105" s="278"/>
      <c r="G105" s="278"/>
      <c r="H105" s="279"/>
      <c r="I105" s="279"/>
      <c r="J105" s="16"/>
      <c r="K105" s="168"/>
      <c r="L105" s="168"/>
      <c r="M105" s="16"/>
    </row>
    <row r="106" spans="1:13" s="132" customFormat="1" ht="12.75" x14ac:dyDescent="0.2">
      <c r="A106" s="169"/>
      <c r="B106" s="128"/>
      <c r="C106" s="129"/>
      <c r="D106" s="130"/>
      <c r="E106" s="170"/>
      <c r="F106" s="276" t="s">
        <v>138</v>
      </c>
      <c r="G106" s="276"/>
      <c r="H106" s="277" t="s">
        <v>139</v>
      </c>
      <c r="I106" s="277"/>
      <c r="J106" s="16"/>
      <c r="K106" s="16"/>
      <c r="L106" s="16"/>
      <c r="M106" s="16"/>
    </row>
    <row r="107" spans="1:13" s="138" customFormat="1" ht="22.5" x14ac:dyDescent="0.25">
      <c r="A107" s="171" t="s">
        <v>140</v>
      </c>
      <c r="B107" s="133" t="s">
        <v>141</v>
      </c>
      <c r="C107" s="134" t="s">
        <v>92</v>
      </c>
      <c r="D107" s="135" t="s">
        <v>135</v>
      </c>
      <c r="E107" s="136" t="s">
        <v>142</v>
      </c>
      <c r="F107" s="172" t="s">
        <v>143</v>
      </c>
      <c r="G107" s="162" t="s">
        <v>144</v>
      </c>
      <c r="H107" s="174" t="s">
        <v>143</v>
      </c>
      <c r="I107" s="175" t="s">
        <v>144</v>
      </c>
      <c r="J107" s="176"/>
      <c r="K107" s="176"/>
      <c r="L107" s="176"/>
      <c r="M107" s="176"/>
    </row>
    <row r="108" spans="1:13" s="8" customFormat="1" ht="22.5" x14ac:dyDescent="0.2">
      <c r="A108" s="167" t="s">
        <v>48</v>
      </c>
      <c r="B108" s="145" t="s">
        <v>99</v>
      </c>
      <c r="C108" s="140" t="s">
        <v>323</v>
      </c>
      <c r="D108" s="141" t="s">
        <v>102</v>
      </c>
      <c r="E108" s="142">
        <v>0.56000000000000005</v>
      </c>
      <c r="F108" s="177">
        <v>71.760000000000005</v>
      </c>
      <c r="G108" s="144">
        <f t="shared" ref="G108:G121" si="6">TRUNC($E108*F108,2)</f>
        <v>40.18</v>
      </c>
      <c r="H108" s="159">
        <v>80.22</v>
      </c>
      <c r="I108" s="144">
        <f t="shared" ref="I108:I121" si="7">TRUNC($E108*H108,2)</f>
        <v>44.92</v>
      </c>
      <c r="J108" s="16"/>
      <c r="K108" s="168"/>
      <c r="L108" s="168"/>
      <c r="M108" s="16"/>
    </row>
    <row r="109" spans="1:13" s="8" customFormat="1" ht="22.5" x14ac:dyDescent="0.2">
      <c r="A109" s="167" t="s">
        <v>48</v>
      </c>
      <c r="B109" s="145" t="s">
        <v>324</v>
      </c>
      <c r="C109" s="140" t="s">
        <v>325</v>
      </c>
      <c r="D109" s="141" t="s">
        <v>96</v>
      </c>
      <c r="E109" s="142">
        <v>1.28</v>
      </c>
      <c r="F109" s="177">
        <v>29.54</v>
      </c>
      <c r="G109" s="144">
        <f t="shared" si="6"/>
        <v>37.81</v>
      </c>
      <c r="H109" s="159">
        <v>30.98</v>
      </c>
      <c r="I109" s="144">
        <f t="shared" si="7"/>
        <v>39.65</v>
      </c>
      <c r="J109" s="16"/>
      <c r="K109" s="168"/>
      <c r="L109" s="168"/>
      <c r="M109" s="16"/>
    </row>
    <row r="110" spans="1:13" s="8" customFormat="1" ht="12.75" x14ac:dyDescent="0.2">
      <c r="A110" s="167" t="s">
        <v>48</v>
      </c>
      <c r="B110" s="145" t="s">
        <v>242</v>
      </c>
      <c r="C110" s="140" t="s">
        <v>243</v>
      </c>
      <c r="D110" s="141" t="s">
        <v>102</v>
      </c>
      <c r="E110" s="142">
        <v>0.31</v>
      </c>
      <c r="F110" s="177">
        <v>18.54</v>
      </c>
      <c r="G110" s="144">
        <f t="shared" si="6"/>
        <v>5.74</v>
      </c>
      <c r="H110" s="159">
        <v>20.440000000000001</v>
      </c>
      <c r="I110" s="144">
        <f t="shared" si="7"/>
        <v>6.33</v>
      </c>
      <c r="J110" s="16"/>
      <c r="K110" s="168"/>
      <c r="L110" s="168"/>
      <c r="M110" s="16"/>
    </row>
    <row r="111" spans="1:13" s="8" customFormat="1" ht="33.75" x14ac:dyDescent="0.2">
      <c r="A111" s="167" t="s">
        <v>182</v>
      </c>
      <c r="B111" s="145" t="s">
        <v>221</v>
      </c>
      <c r="C111" s="140" t="s">
        <v>326</v>
      </c>
      <c r="D111" s="141" t="s">
        <v>327</v>
      </c>
      <c r="E111" s="142">
        <v>1.44</v>
      </c>
      <c r="F111" s="177">
        <v>77.17</v>
      </c>
      <c r="G111" s="144">
        <f t="shared" si="6"/>
        <v>111.12</v>
      </c>
      <c r="H111" s="159">
        <v>82.42</v>
      </c>
      <c r="I111" s="144">
        <f t="shared" ref="I111:I115" si="8">TRUNC($E111*H111,2)</f>
        <v>118.68</v>
      </c>
      <c r="J111" s="16"/>
      <c r="K111" s="168"/>
      <c r="L111" s="168"/>
      <c r="M111" s="16"/>
    </row>
    <row r="112" spans="1:13" s="8" customFormat="1" ht="33.75" x14ac:dyDescent="0.2">
      <c r="A112" s="167" t="s">
        <v>48</v>
      </c>
      <c r="B112" s="145" t="s">
        <v>100</v>
      </c>
      <c r="C112" s="140" t="s">
        <v>111</v>
      </c>
      <c r="D112" s="141" t="s">
        <v>96</v>
      </c>
      <c r="E112" s="142">
        <v>4.08</v>
      </c>
      <c r="F112" s="177">
        <v>3.94</v>
      </c>
      <c r="G112" s="144">
        <f t="shared" ref="G112:G115" si="9">TRUNC($E112*F112,2)</f>
        <v>16.07</v>
      </c>
      <c r="H112" s="159">
        <v>4.2300000000000004</v>
      </c>
      <c r="I112" s="144">
        <f t="shared" si="8"/>
        <v>17.25</v>
      </c>
      <c r="J112" s="16"/>
      <c r="K112" s="168"/>
      <c r="L112" s="168"/>
      <c r="M112" s="16"/>
    </row>
    <row r="113" spans="1:13" s="8" customFormat="1" ht="45" x14ac:dyDescent="0.2">
      <c r="A113" s="167" t="s">
        <v>48</v>
      </c>
      <c r="B113" s="145" t="s">
        <v>328</v>
      </c>
      <c r="C113" s="140" t="s">
        <v>329</v>
      </c>
      <c r="D113" s="141" t="s">
        <v>96</v>
      </c>
      <c r="E113" s="142">
        <v>4.08</v>
      </c>
      <c r="F113" s="177">
        <v>34.18</v>
      </c>
      <c r="G113" s="144">
        <f t="shared" si="9"/>
        <v>139.44999999999999</v>
      </c>
      <c r="H113" s="159">
        <v>35.9</v>
      </c>
      <c r="I113" s="144">
        <f t="shared" si="8"/>
        <v>146.47</v>
      </c>
      <c r="J113" s="16"/>
      <c r="K113" s="168"/>
      <c r="L113" s="168"/>
      <c r="M113" s="16"/>
    </row>
    <row r="114" spans="1:13" s="8" customFormat="1" ht="22.5" x14ac:dyDescent="0.2">
      <c r="A114" s="167" t="s">
        <v>48</v>
      </c>
      <c r="B114" s="145" t="s">
        <v>330</v>
      </c>
      <c r="C114" s="140" t="s">
        <v>331</v>
      </c>
      <c r="D114" s="141" t="s">
        <v>96</v>
      </c>
      <c r="E114" s="142">
        <v>3.66</v>
      </c>
      <c r="F114" s="177">
        <v>51.5</v>
      </c>
      <c r="G114" s="144">
        <f t="shared" si="9"/>
        <v>188.49</v>
      </c>
      <c r="H114" s="159">
        <v>51.63</v>
      </c>
      <c r="I114" s="144">
        <f t="shared" si="8"/>
        <v>188.96</v>
      </c>
      <c r="J114" s="16"/>
      <c r="K114" s="168"/>
      <c r="L114" s="168"/>
      <c r="M114" s="16"/>
    </row>
    <row r="115" spans="1:13" s="8" customFormat="1" ht="33.75" x14ac:dyDescent="0.2">
      <c r="A115" s="167" t="s">
        <v>48</v>
      </c>
      <c r="B115" s="145" t="s">
        <v>332</v>
      </c>
      <c r="C115" s="140" t="s">
        <v>333</v>
      </c>
      <c r="D115" s="141" t="s">
        <v>334</v>
      </c>
      <c r="E115" s="142">
        <v>3.85</v>
      </c>
      <c r="F115" s="177">
        <v>14.21</v>
      </c>
      <c r="G115" s="144">
        <f t="shared" si="9"/>
        <v>54.7</v>
      </c>
      <c r="H115" s="159">
        <v>14.67</v>
      </c>
      <c r="I115" s="144">
        <f t="shared" si="8"/>
        <v>56.47</v>
      </c>
      <c r="J115" s="16"/>
      <c r="K115" s="168"/>
      <c r="L115" s="168"/>
      <c r="M115" s="16"/>
    </row>
    <row r="116" spans="1:13" s="8" customFormat="1" ht="33.75" x14ac:dyDescent="0.2">
      <c r="A116" s="167" t="s">
        <v>48</v>
      </c>
      <c r="B116" s="145" t="s">
        <v>335</v>
      </c>
      <c r="C116" s="140" t="s">
        <v>336</v>
      </c>
      <c r="D116" s="141" t="s">
        <v>334</v>
      </c>
      <c r="E116" s="142">
        <v>11.76</v>
      </c>
      <c r="F116" s="177">
        <v>13.87</v>
      </c>
      <c r="G116" s="144">
        <f t="shared" si="6"/>
        <v>163.11000000000001</v>
      </c>
      <c r="H116" s="159">
        <v>14.16</v>
      </c>
      <c r="I116" s="144">
        <f t="shared" si="7"/>
        <v>166.52</v>
      </c>
      <c r="J116" s="16"/>
      <c r="K116" s="168"/>
      <c r="L116" s="168"/>
      <c r="M116" s="16"/>
    </row>
    <row r="117" spans="1:13" s="8" customFormat="1" ht="22.5" x14ac:dyDescent="0.2">
      <c r="A117" s="167" t="s">
        <v>48</v>
      </c>
      <c r="B117" s="145" t="s">
        <v>337</v>
      </c>
      <c r="C117" s="140" t="s">
        <v>338</v>
      </c>
      <c r="D117" s="141" t="s">
        <v>102</v>
      </c>
      <c r="E117" s="142">
        <v>7.0000000000000007E-2</v>
      </c>
      <c r="F117" s="177" t="s">
        <v>340</v>
      </c>
      <c r="G117" s="144">
        <f t="shared" si="6"/>
        <v>33.76</v>
      </c>
      <c r="H117" s="159" t="s">
        <v>341</v>
      </c>
      <c r="I117" s="144">
        <f t="shared" si="7"/>
        <v>34.450000000000003</v>
      </c>
      <c r="J117" s="16"/>
      <c r="K117" s="168"/>
      <c r="L117" s="168"/>
      <c r="M117" s="16"/>
    </row>
    <row r="118" spans="1:13" s="8" customFormat="1" ht="22.5" x14ac:dyDescent="0.2">
      <c r="A118" s="167" t="s">
        <v>48</v>
      </c>
      <c r="B118" s="145" t="s">
        <v>342</v>
      </c>
      <c r="C118" s="140" t="s">
        <v>343</v>
      </c>
      <c r="D118" s="141" t="s">
        <v>102</v>
      </c>
      <c r="E118" s="142">
        <v>7.0000000000000007E-2</v>
      </c>
      <c r="F118" s="177" t="s">
        <v>344</v>
      </c>
      <c r="G118" s="144">
        <f t="shared" si="6"/>
        <v>17.239999999999998</v>
      </c>
      <c r="H118" s="159" t="s">
        <v>345</v>
      </c>
      <c r="I118" s="144">
        <f t="shared" si="7"/>
        <v>19.309999999999999</v>
      </c>
      <c r="J118" s="16"/>
      <c r="K118" s="168"/>
      <c r="L118" s="168"/>
      <c r="M118" s="16"/>
    </row>
    <row r="119" spans="1:13" s="8" customFormat="1" ht="33.75" x14ac:dyDescent="0.2">
      <c r="A119" s="167" t="s">
        <v>48</v>
      </c>
      <c r="B119" s="145" t="s">
        <v>346</v>
      </c>
      <c r="C119" s="140" t="s">
        <v>347</v>
      </c>
      <c r="D119" s="141" t="s">
        <v>96</v>
      </c>
      <c r="E119" s="142">
        <v>0.64</v>
      </c>
      <c r="F119" s="177">
        <v>66.900000000000006</v>
      </c>
      <c r="G119" s="144">
        <f t="shared" si="6"/>
        <v>42.81</v>
      </c>
      <c r="H119" s="159">
        <v>68.97</v>
      </c>
      <c r="I119" s="144">
        <f t="shared" si="7"/>
        <v>44.14</v>
      </c>
      <c r="J119" s="16"/>
      <c r="K119" s="168"/>
      <c r="L119" s="168"/>
      <c r="M119" s="16"/>
    </row>
    <row r="120" spans="1:13" s="8" customFormat="1" ht="22.5" x14ac:dyDescent="0.2">
      <c r="A120" s="167" t="s">
        <v>48</v>
      </c>
      <c r="B120" s="145" t="s">
        <v>103</v>
      </c>
      <c r="C120" s="140" t="s">
        <v>112</v>
      </c>
      <c r="D120" s="141" t="s">
        <v>96</v>
      </c>
      <c r="E120" s="142">
        <v>2.58</v>
      </c>
      <c r="F120" s="177">
        <v>3.84</v>
      </c>
      <c r="G120" s="144">
        <f t="shared" si="6"/>
        <v>9.9</v>
      </c>
      <c r="H120" s="159">
        <v>4.08</v>
      </c>
      <c r="I120" s="144">
        <f t="shared" si="7"/>
        <v>10.52</v>
      </c>
      <c r="J120" s="16"/>
      <c r="K120" s="168"/>
      <c r="L120" s="168"/>
      <c r="M120" s="16"/>
    </row>
    <row r="121" spans="1:13" s="8" customFormat="1" ht="22.5" x14ac:dyDescent="0.2">
      <c r="A121" s="167" t="s">
        <v>48</v>
      </c>
      <c r="B121" s="145" t="s">
        <v>104</v>
      </c>
      <c r="C121" s="140" t="s">
        <v>113</v>
      </c>
      <c r="D121" s="141" t="s">
        <v>96</v>
      </c>
      <c r="E121" s="142">
        <v>2.58</v>
      </c>
      <c r="F121" s="177">
        <v>12.77</v>
      </c>
      <c r="G121" s="144">
        <f t="shared" si="6"/>
        <v>32.94</v>
      </c>
      <c r="H121" s="159">
        <v>13.35</v>
      </c>
      <c r="I121" s="144">
        <f t="shared" si="7"/>
        <v>34.44</v>
      </c>
      <c r="J121" s="16"/>
      <c r="K121" s="168"/>
      <c r="L121" s="168"/>
      <c r="M121" s="16"/>
    </row>
    <row r="122" spans="1:13" s="8" customFormat="1" ht="12.75" x14ac:dyDescent="0.2">
      <c r="A122" s="178"/>
      <c r="B122" s="179"/>
      <c r="C122" s="179"/>
      <c r="D122" s="179"/>
      <c r="E122" s="180"/>
      <c r="F122" s="181" t="s">
        <v>153</v>
      </c>
      <c r="G122" s="182">
        <f>TRUNC(SUM(G108:G121),2)</f>
        <v>893.32</v>
      </c>
      <c r="H122" s="183" t="s">
        <v>153</v>
      </c>
      <c r="I122" s="184">
        <f>TRUNC(SUM(I108:I121),2)</f>
        <v>928.11</v>
      </c>
      <c r="J122" s="16"/>
      <c r="K122" s="168"/>
      <c r="L122" s="168"/>
      <c r="M122" s="16"/>
    </row>
    <row r="123" spans="1:13" s="8" customFormat="1" ht="12.75" x14ac:dyDescent="0.2">
      <c r="J123" s="16"/>
      <c r="K123" s="16"/>
      <c r="L123" s="16"/>
      <c r="M123" s="16"/>
    </row>
    <row r="564" spans="12:12" x14ac:dyDescent="0.2">
      <c r="L564" s="185" t="e">
        <f>#REF!</f>
        <v>#REF!</v>
      </c>
    </row>
  </sheetData>
  <mergeCells count="71">
    <mergeCell ref="F106:G106"/>
    <mergeCell ref="H106:I106"/>
    <mergeCell ref="F89:G89"/>
    <mergeCell ref="H89:I89"/>
    <mergeCell ref="A99:I100"/>
    <mergeCell ref="A101:B105"/>
    <mergeCell ref="D101:I101"/>
    <mergeCell ref="C102:C103"/>
    <mergeCell ref="E104:E105"/>
    <mergeCell ref="F104:G105"/>
    <mergeCell ref="H104:I105"/>
    <mergeCell ref="D102:I103"/>
    <mergeCell ref="A82:I83"/>
    <mergeCell ref="A84:B88"/>
    <mergeCell ref="D84:I84"/>
    <mergeCell ref="C85:C86"/>
    <mergeCell ref="D85:I86"/>
    <mergeCell ref="E87:E88"/>
    <mergeCell ref="F87:G88"/>
    <mergeCell ref="H87:I88"/>
    <mergeCell ref="F73:G73"/>
    <mergeCell ref="H73:I73"/>
    <mergeCell ref="E42:E43"/>
    <mergeCell ref="E71:E72"/>
    <mergeCell ref="E57:E58"/>
    <mergeCell ref="A66:I67"/>
    <mergeCell ref="A68:B72"/>
    <mergeCell ref="D68:I68"/>
    <mergeCell ref="C69:C70"/>
    <mergeCell ref="D69:I70"/>
    <mergeCell ref="F71:G72"/>
    <mergeCell ref="H71:I72"/>
    <mergeCell ref="A54:B58"/>
    <mergeCell ref="D54:I54"/>
    <mergeCell ref="C55:C56"/>
    <mergeCell ref="D55:I56"/>
    <mergeCell ref="F59:G59"/>
    <mergeCell ref="H59:I59"/>
    <mergeCell ref="F44:G44"/>
    <mergeCell ref="H44:I44"/>
    <mergeCell ref="A52:I53"/>
    <mergeCell ref="A2:I2"/>
    <mergeCell ref="A36:I37"/>
    <mergeCell ref="A38:B43"/>
    <mergeCell ref="D38:I38"/>
    <mergeCell ref="C39:C41"/>
    <mergeCell ref="D39:I41"/>
    <mergeCell ref="F42:G43"/>
    <mergeCell ref="H42:I43"/>
    <mergeCell ref="A8:I9"/>
    <mergeCell ref="A10:B15"/>
    <mergeCell ref="D10:I10"/>
    <mergeCell ref="C11:C13"/>
    <mergeCell ref="D11:I13"/>
    <mergeCell ref="E14:E15"/>
    <mergeCell ref="F14:G15"/>
    <mergeCell ref="H14:I15"/>
    <mergeCell ref="F30:G30"/>
    <mergeCell ref="H30:I30"/>
    <mergeCell ref="F57:G58"/>
    <mergeCell ref="H57:I58"/>
    <mergeCell ref="F16:G16"/>
    <mergeCell ref="H16:I16"/>
    <mergeCell ref="A22:I23"/>
    <mergeCell ref="A24:B29"/>
    <mergeCell ref="D24:I24"/>
    <mergeCell ref="C25:C27"/>
    <mergeCell ref="D25:I27"/>
    <mergeCell ref="E28:E29"/>
    <mergeCell ref="F28:G29"/>
    <mergeCell ref="H28:I29"/>
  </mergeCells>
  <conditionalFormatting sqref="L6">
    <cfRule type="expression" dxfId="1" priority="9" stopIfTrue="1">
      <formula>AND($A6&lt;&gt;"COMPOSICAO",$A6&lt;&gt;"INSUMO",$A6&lt;&gt;"")</formula>
    </cfRule>
    <cfRule type="expression" dxfId="0" priority="10" stopIfTrue="1">
      <formula>AND(OR($A6="COMPOSICAO",$A6="INSUMO",$A6&lt;&gt;""),$A6&lt;&gt;"")</formula>
    </cfRule>
  </conditionalFormatting>
  <printOptions horizontalCentered="1"/>
  <pageMargins left="0.51181102362204722" right="0.51181102362204722" top="0.98425196850393704" bottom="0.78740157480314965" header="0.31496062992125984" footer="0.31496062992125984"/>
  <pageSetup paperSize="9" scale="67" fitToHeight="0" orientation="portrait" r:id="rId1"/>
  <headerFooter>
    <oddHeader>&amp;C&amp;G</oddHeader>
    <oddFooter>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1:F61"/>
  <sheetViews>
    <sheetView view="pageBreakPreview" zoomScaleSheetLayoutView="100" workbookViewId="0">
      <selection activeCell="D28" sqref="D28"/>
    </sheetView>
  </sheetViews>
  <sheetFormatPr defaultColWidth="9.140625" defaultRowHeight="15" x14ac:dyDescent="0.25"/>
  <cols>
    <col min="1" max="1" width="1.140625" style="103" customWidth="1"/>
    <col min="2" max="2" width="75.7109375" style="103" customWidth="1"/>
    <col min="3" max="3" width="10.140625" style="105" bestFit="1" customWidth="1"/>
    <col min="4" max="4" width="12" style="105" customWidth="1"/>
    <col min="5" max="5" width="11.42578125" style="103" customWidth="1"/>
    <col min="6" max="6" width="62.5703125" style="103" customWidth="1"/>
    <col min="7" max="16384" width="9.140625" style="103"/>
  </cols>
  <sheetData>
    <row r="1" spans="2:6" s="70" customFormat="1" ht="6.75" customHeight="1" x14ac:dyDescent="0.2">
      <c r="C1" s="71"/>
      <c r="D1" s="71"/>
    </row>
    <row r="2" spans="2:6" s="70" customFormat="1" ht="18.75" x14ac:dyDescent="0.3">
      <c r="B2" s="308" t="s">
        <v>50</v>
      </c>
      <c r="C2" s="308"/>
      <c r="D2" s="308"/>
    </row>
    <row r="3" spans="2:6" s="73" customFormat="1" ht="11.25" x14ac:dyDescent="0.2">
      <c r="B3" s="72"/>
      <c r="C3" s="72"/>
      <c r="D3" s="72"/>
    </row>
    <row r="4" spans="2:6" s="70" customFormat="1" ht="16.5" x14ac:dyDescent="0.3">
      <c r="B4" s="309" t="s">
        <v>430</v>
      </c>
      <c r="C4" s="309"/>
      <c r="D4" s="309"/>
    </row>
    <row r="5" spans="2:6" s="70" customFormat="1" ht="12.75" x14ac:dyDescent="0.2">
      <c r="B5" s="74"/>
      <c r="C5" s="74"/>
      <c r="D5" s="74"/>
    </row>
    <row r="6" spans="2:6" s="16" customFormat="1" ht="30" customHeight="1" x14ac:dyDescent="0.25">
      <c r="B6" s="310" t="e">
        <f>#REF!</f>
        <v>#REF!</v>
      </c>
      <c r="C6" s="310"/>
      <c r="D6" s="310"/>
    </row>
    <row r="7" spans="2:6" s="16" customFormat="1" x14ac:dyDescent="0.25">
      <c r="B7" s="310" t="e">
        <f>#REF!</f>
        <v>#REF!</v>
      </c>
      <c r="C7" s="310"/>
      <c r="D7" s="310"/>
    </row>
    <row r="8" spans="2:6" s="16" customFormat="1" x14ac:dyDescent="0.2">
      <c r="B8" s="311" t="e">
        <f>#REF!</f>
        <v>#REF!</v>
      </c>
      <c r="C8" s="311"/>
      <c r="D8" s="311"/>
    </row>
    <row r="9" spans="2:6" s="70" customFormat="1" ht="12.75" x14ac:dyDescent="0.2">
      <c r="B9" s="75"/>
      <c r="C9" s="76"/>
      <c r="D9" s="76"/>
    </row>
    <row r="10" spans="2:6" s="70" customFormat="1" ht="22.5" customHeight="1" x14ac:dyDescent="0.25">
      <c r="B10" s="77" t="s">
        <v>51</v>
      </c>
      <c r="C10" s="78" t="s">
        <v>52</v>
      </c>
      <c r="D10" s="78" t="s">
        <v>53</v>
      </c>
      <c r="F10" s="79" t="s">
        <v>54</v>
      </c>
    </row>
    <row r="11" spans="2:6" s="70" customFormat="1" x14ac:dyDescent="0.25">
      <c r="B11" s="80"/>
      <c r="C11" s="81"/>
      <c r="D11" s="81"/>
    </row>
    <row r="12" spans="2:6" s="70" customFormat="1" x14ac:dyDescent="0.25">
      <c r="B12" s="82" t="s">
        <v>55</v>
      </c>
      <c r="C12" s="83" t="s">
        <v>56</v>
      </c>
      <c r="D12" s="84">
        <v>0.04</v>
      </c>
      <c r="E12" s="70" t="s">
        <v>80</v>
      </c>
      <c r="F12" s="85" t="s">
        <v>431</v>
      </c>
    </row>
    <row r="13" spans="2:6" s="70" customFormat="1" x14ac:dyDescent="0.25">
      <c r="B13" s="82"/>
      <c r="C13" s="83"/>
      <c r="D13" s="86"/>
    </row>
    <row r="14" spans="2:6" s="70" customFormat="1" x14ac:dyDescent="0.25">
      <c r="B14" s="82" t="s">
        <v>57</v>
      </c>
      <c r="C14" s="83" t="s">
        <v>58</v>
      </c>
      <c r="D14" s="84">
        <v>1.23E-2</v>
      </c>
      <c r="E14" s="70" t="s">
        <v>80</v>
      </c>
      <c r="F14" s="85" t="s">
        <v>432</v>
      </c>
    </row>
    <row r="15" spans="2:6" s="70" customFormat="1" x14ac:dyDescent="0.25">
      <c r="B15" s="82"/>
      <c r="C15" s="83"/>
      <c r="D15" s="87"/>
    </row>
    <row r="16" spans="2:6" s="70" customFormat="1" x14ac:dyDescent="0.25">
      <c r="B16" s="82" t="s">
        <v>59</v>
      </c>
      <c r="C16" s="83" t="s">
        <v>60</v>
      </c>
      <c r="D16" s="84">
        <v>9.7000000000000003E-3</v>
      </c>
      <c r="E16" s="70" t="s">
        <v>80</v>
      </c>
      <c r="F16" s="85" t="s">
        <v>433</v>
      </c>
    </row>
    <row r="17" spans="2:6" s="70" customFormat="1" x14ac:dyDescent="0.25">
      <c r="B17" s="82"/>
      <c r="C17" s="83"/>
      <c r="D17" s="87"/>
    </row>
    <row r="18" spans="2:6" s="70" customFormat="1" x14ac:dyDescent="0.25">
      <c r="B18" s="88" t="s">
        <v>84</v>
      </c>
      <c r="C18" s="89" t="s">
        <v>85</v>
      </c>
      <c r="D18" s="90">
        <v>8.0000000000000002E-3</v>
      </c>
      <c r="E18" s="70" t="s">
        <v>81</v>
      </c>
      <c r="F18" s="91" t="s">
        <v>434</v>
      </c>
    </row>
    <row r="19" spans="2:6" s="70" customFormat="1" x14ac:dyDescent="0.25">
      <c r="B19" s="82"/>
      <c r="C19" s="83"/>
      <c r="D19" s="92"/>
    </row>
    <row r="20" spans="2:6" s="70" customFormat="1" x14ac:dyDescent="0.25">
      <c r="B20" s="82" t="s">
        <v>61</v>
      </c>
      <c r="C20" s="83" t="s">
        <v>61</v>
      </c>
      <c r="D20" s="92">
        <v>0.03</v>
      </c>
    </row>
    <row r="21" spans="2:6" s="70" customFormat="1" x14ac:dyDescent="0.25">
      <c r="B21" s="82" t="s">
        <v>62</v>
      </c>
      <c r="C21" s="83" t="s">
        <v>63</v>
      </c>
      <c r="D21" s="92">
        <v>0.02</v>
      </c>
      <c r="E21" s="93">
        <f>0.05*0.4</f>
        <v>2.0000000000000004E-2</v>
      </c>
    </row>
    <row r="22" spans="2:6" s="70" customFormat="1" x14ac:dyDescent="0.25">
      <c r="B22" s="82" t="s">
        <v>64</v>
      </c>
      <c r="C22" s="83" t="s">
        <v>64</v>
      </c>
      <c r="D22" s="92">
        <v>6.4999999999999997E-3</v>
      </c>
    </row>
    <row r="23" spans="2:6" s="70" customFormat="1" hidden="1" x14ac:dyDescent="0.25">
      <c r="B23" s="82" t="s">
        <v>65</v>
      </c>
      <c r="C23" s="83" t="s">
        <v>66</v>
      </c>
      <c r="D23" s="92"/>
      <c r="E23" s="70" t="s">
        <v>67</v>
      </c>
    </row>
    <row r="24" spans="2:6" s="70" customFormat="1" x14ac:dyDescent="0.25">
      <c r="B24" s="82" t="s">
        <v>78</v>
      </c>
      <c r="C24" s="83" t="s">
        <v>68</v>
      </c>
      <c r="D24" s="84">
        <f>SUM(D20:D23)</f>
        <v>5.6500000000000002E-2</v>
      </c>
    </row>
    <row r="25" spans="2:6" s="70" customFormat="1" x14ac:dyDescent="0.25">
      <c r="B25" s="82"/>
      <c r="C25" s="83"/>
      <c r="D25" s="92"/>
    </row>
    <row r="26" spans="2:6" s="70" customFormat="1" x14ac:dyDescent="0.25">
      <c r="B26" s="82" t="s">
        <v>69</v>
      </c>
      <c r="C26" s="83" t="s">
        <v>70</v>
      </c>
      <c r="D26" s="84">
        <v>6.1800000000000001E-2</v>
      </c>
      <c r="E26" s="70" t="s">
        <v>82</v>
      </c>
      <c r="F26" s="85" t="s">
        <v>435</v>
      </c>
    </row>
    <row r="27" spans="2:6" s="70" customFormat="1" x14ac:dyDescent="0.25">
      <c r="B27" s="80"/>
      <c r="C27" s="81"/>
      <c r="D27" s="94"/>
    </row>
    <row r="28" spans="2:6" s="70" customFormat="1" x14ac:dyDescent="0.25">
      <c r="B28" s="95" t="s">
        <v>71</v>
      </c>
      <c r="C28" s="96"/>
      <c r="D28" s="84">
        <f>ROUND((((1+D12+D18+D16)*(1+D14)*(1+D26))/(1-D24))-1,4)</f>
        <v>0.20499999999999999</v>
      </c>
      <c r="E28" s="97" t="s">
        <v>83</v>
      </c>
    </row>
    <row r="29" spans="2:6" s="70" customFormat="1" ht="12.75" x14ac:dyDescent="0.2">
      <c r="C29" s="71"/>
      <c r="D29" s="98"/>
      <c r="F29" s="85" t="s">
        <v>436</v>
      </c>
    </row>
    <row r="30" spans="2:6" s="70" customFormat="1" ht="12.75" x14ac:dyDescent="0.2">
      <c r="C30" s="71"/>
      <c r="D30" s="71"/>
    </row>
    <row r="31" spans="2:6" s="70" customFormat="1" ht="12.75" x14ac:dyDescent="0.2">
      <c r="C31" s="71"/>
      <c r="D31" s="71"/>
    </row>
    <row r="32" spans="2:6" s="70" customFormat="1" ht="15.75" x14ac:dyDescent="0.25">
      <c r="B32" s="99" t="s">
        <v>72</v>
      </c>
      <c r="C32" s="71"/>
      <c r="D32" s="71"/>
    </row>
    <row r="33" spans="2:6" x14ac:dyDescent="0.25">
      <c r="B33" s="100"/>
      <c r="C33" s="101"/>
      <c r="D33" s="102"/>
    </row>
    <row r="34" spans="2:6" x14ac:dyDescent="0.25">
      <c r="B34" s="104"/>
      <c r="D34" s="106"/>
    </row>
    <row r="35" spans="2:6" x14ac:dyDescent="0.25">
      <c r="B35" s="104"/>
      <c r="D35" s="106"/>
    </row>
    <row r="36" spans="2:6" x14ac:dyDescent="0.25">
      <c r="B36" s="104"/>
      <c r="D36" s="106"/>
    </row>
    <row r="37" spans="2:6" s="110" customFormat="1" x14ac:dyDescent="0.25">
      <c r="B37" s="107"/>
      <c r="C37" s="108"/>
      <c r="D37" s="109"/>
    </row>
    <row r="38" spans="2:6" s="110" customFormat="1" x14ac:dyDescent="0.25">
      <c r="B38" s="111"/>
      <c r="C38" s="112"/>
      <c r="D38" s="113"/>
    </row>
    <row r="39" spans="2:6" s="110" customFormat="1" x14ac:dyDescent="0.25">
      <c r="B39" s="114"/>
      <c r="C39" s="115"/>
      <c r="D39" s="115"/>
    </row>
    <row r="40" spans="2:6" s="110" customFormat="1" x14ac:dyDescent="0.25">
      <c r="B40" s="114" t="s">
        <v>73</v>
      </c>
      <c r="C40" s="115"/>
      <c r="D40" s="115"/>
    </row>
    <row r="41" spans="2:6" s="116" customFormat="1" x14ac:dyDescent="0.25">
      <c r="B41" s="303" t="s">
        <v>74</v>
      </c>
      <c r="C41" s="303"/>
      <c r="D41" s="303"/>
    </row>
    <row r="42" spans="2:6" s="116" customFormat="1" ht="66" customHeight="1" x14ac:dyDescent="0.25">
      <c r="B42" s="303" t="s">
        <v>215</v>
      </c>
      <c r="C42" s="303"/>
      <c r="D42" s="303"/>
    </row>
    <row r="43" spans="2:6" s="110" customFormat="1" ht="98.25" hidden="1" customHeight="1" x14ac:dyDescent="0.25">
      <c r="B43" s="304" t="s">
        <v>437</v>
      </c>
      <c r="C43" s="304"/>
      <c r="D43" s="304"/>
      <c r="F43" s="117" t="s">
        <v>75</v>
      </c>
    </row>
    <row r="46" spans="2:6" x14ac:dyDescent="0.25">
      <c r="B46" s="103" t="s">
        <v>76</v>
      </c>
    </row>
    <row r="47" spans="2:6" ht="135" customHeight="1" x14ac:dyDescent="0.25">
      <c r="B47" s="305" t="s">
        <v>438</v>
      </c>
      <c r="C47" s="306"/>
      <c r="D47" s="307"/>
    </row>
    <row r="59" spans="2:4" s="70" customFormat="1" ht="12.75" x14ac:dyDescent="0.2">
      <c r="C59" s="71"/>
      <c r="D59" s="71"/>
    </row>
    <row r="60" spans="2:4" s="70" customFormat="1" ht="12.75" x14ac:dyDescent="0.2">
      <c r="C60" s="71"/>
      <c r="D60" s="71"/>
    </row>
    <row r="61" spans="2:4" x14ac:dyDescent="0.25">
      <c r="B61" s="103" t="s">
        <v>77</v>
      </c>
    </row>
  </sheetData>
  <mergeCells count="9">
    <mergeCell ref="B41:D41"/>
    <mergeCell ref="B42:D42"/>
    <mergeCell ref="B43:D43"/>
    <mergeCell ref="B47:D47"/>
    <mergeCell ref="B2:D2"/>
    <mergeCell ref="B4:D4"/>
    <mergeCell ref="B6:D6"/>
    <mergeCell ref="B7:D7"/>
    <mergeCell ref="B8:D8"/>
  </mergeCells>
  <printOptions horizontalCentered="1"/>
  <pageMargins left="0.59055118110236227" right="0.59055118110236227" top="1.3779527559055118" bottom="0.78740157480314965" header="0.39370078740157483" footer="0.39370078740157483"/>
  <pageSetup paperSize="9" scale="88" orientation="portrait" horizontalDpi="300" verticalDpi="300" r:id="rId1"/>
  <headerFooter>
    <oddHeader>&amp;C&amp;G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Equation.3" shapeId="13313" r:id="rId5">
          <objectPr defaultSize="0" autoPict="0" r:id="rId6">
            <anchor moveWithCells="1" sizeWithCells="1">
              <from>
                <xdr:col>1</xdr:col>
                <xdr:colOff>19050</xdr:colOff>
                <xdr:row>32</xdr:row>
                <xdr:rowOff>152400</xdr:rowOff>
              </from>
              <to>
                <xdr:col>1</xdr:col>
                <xdr:colOff>4648200</xdr:colOff>
                <xdr:row>36</xdr:row>
                <xdr:rowOff>161925</xdr:rowOff>
              </to>
            </anchor>
          </objectPr>
        </oleObject>
      </mc:Choice>
      <mc:Fallback>
        <oleObject progId="Equation.3" shapeId="13313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Orçamento</vt:lpstr>
      <vt:lpstr>CRONOGRAMA</vt:lpstr>
      <vt:lpstr>COMPOSIÇÕES</vt:lpstr>
      <vt:lpstr>COMP_BDI_EDIFICACOES</vt:lpstr>
      <vt:lpstr>COMP_BDI_EDIFICACOES!Area_de_impressao</vt:lpstr>
      <vt:lpstr>COMPOSIÇÕES!Area_de_impressao</vt:lpstr>
      <vt:lpstr>CRONOGRAMA!Area_de_impressao</vt:lpstr>
      <vt:lpstr>Orçamento!Area_de_impressao</vt:lpstr>
      <vt:lpstr>BDI_EDIF_com_Desoneracao</vt:lpstr>
      <vt:lpstr>COMPOSIÇÕES!Titulos_de_impressao</vt:lpstr>
      <vt:lpstr>CRONOGRAMA!Titulos_de_impressao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2024-05-20T18:02:04Z</dcterms:modified>
</cp:coreProperties>
</file>