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B6A8F6C1-B050-4FB6-ACF5-BA2570601872}" xr6:coauthVersionLast="47" xr6:coauthVersionMax="47" xr10:uidLastSave="{00000000-0000-0000-0000-000000000000}"/>
  <bookViews>
    <workbookView xWindow="-120" yWindow="-120" windowWidth="20730" windowHeight="11160" tabRatio="908" activeTab="3" xr2:uid="{00000000-000D-0000-FFFF-FFFF00000000}"/>
  </bookViews>
  <sheets>
    <sheet name="ORÇAMENTO" sheetId="47" r:id="rId1"/>
    <sheet name="CRONOGRAMA" sheetId="8" r:id="rId2"/>
    <sheet name="COMPOSIÇÕES PRÓPRIAS" sheetId="41" r:id="rId3"/>
    <sheet name="COMP_BDI_EDIFICACOES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hidden="1">#REF!</definedName>
    <definedName name="__123Graph_B" localSheetId="2" hidden="1">#REF!</definedName>
    <definedName name="__123Graph_B" hidden="1">#REF!</definedName>
    <definedName name="__123Graph_C" localSheetId="2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hidden="1">#REF!</definedName>
    <definedName name="_BSADJ" localSheetId="2">#REF!</definedName>
    <definedName name="_BSADJ">#REF!</definedName>
    <definedName name="_BSTGT" localSheetId="2">#REF!</definedName>
    <definedName name="_BSTGT">#REF!</definedName>
    <definedName name="_xlnm._FilterDatabase" localSheetId="0" hidden="1">ORÇAMENTO!$A$9:$I$96</definedName>
    <definedName name="_IND1" localSheetId="2">#REF!</definedName>
    <definedName name="_IND1">#REF!</definedName>
    <definedName name="_IND2" localSheetId="2">#REF!</definedName>
    <definedName name="_IND2">#REF!</definedName>
    <definedName name="_MM" localSheetId="2" hidden="1">#REF!</definedName>
    <definedName name="_MM" hidden="1">#REF!</definedName>
    <definedName name="a" localSheetId="2">#REF!</definedName>
    <definedName name="a">#REF!</definedName>
    <definedName name="acha.coluna" localSheetId="2">#REF!</definedName>
    <definedName name="acha.coluna">#REF!</definedName>
    <definedName name="acha.dados" localSheetId="2">#REF!</definedName>
    <definedName name="acha.dados">#REF!</definedName>
    <definedName name="acha.dados2" localSheetId="2">#REF!</definedName>
    <definedName name="acha.dados2">#REF!</definedName>
    <definedName name="acha.linha" localSheetId="2">#REF!</definedName>
    <definedName name="acha.linha">#REF!</definedName>
    <definedName name="acha.linha2" localSheetId="2">#REF!</definedName>
    <definedName name="acha.linha2">#REF!</definedName>
    <definedName name="_xlnm.Print_Area" localSheetId="3">COMP_BDI_EDIFICACOES!$B$2:$D$44</definedName>
    <definedName name="_xlnm.Print_Area" localSheetId="2">'COMPOSIÇÕES PRÓPRIAS'!$A$1:$I$143</definedName>
    <definedName name="_xlnm.Print_Area" localSheetId="1">CRONOGRAMA!$A$1:$P$58</definedName>
    <definedName name="_xlnm.Print_Area" localSheetId="0">ORÇAMENTO!$A$1:$I$96</definedName>
    <definedName name="Área_impressão_IM" localSheetId="2">#REF!</definedName>
    <definedName name="Área_impressão_IM">#REF!</definedName>
    <definedName name="Área_impressão_IM2" localSheetId="2">#REF!</definedName>
    <definedName name="Área_impressão_IM2">#REF!</definedName>
    <definedName name="AreaTeste" localSheetId="2">#REF!</definedName>
    <definedName name="AreaTeste">#REF!</definedName>
    <definedName name="AreaTeste2" localSheetId="2">#REF!</definedName>
    <definedName name="AreaTeste2">#REF!</definedName>
    <definedName name="ATUALIZANDO">#REF!</definedName>
    <definedName name="_xlnm.Database" localSheetId="2">#REF!</definedName>
    <definedName name="_xlnm.Database">#REF!</definedName>
    <definedName name="bdi" localSheetId="2">#REF!</definedName>
    <definedName name="bdi">#REF!</definedName>
    <definedName name="BDI_EDIF_com_Desoneracao">COMP_BDI_EDIFICACOES!$D$28</definedName>
    <definedName name="BDI_EDIF_sem_Desoneracao">#REF!</definedName>
    <definedName name="BDIlds">'[2]LIGAÇÕES DOMICILIARES (SER)'!$K$13</definedName>
    <definedName name="BDIm" localSheetId="2">#REF!</definedName>
    <definedName name="BDIm">#REF!</definedName>
    <definedName name="BDIs">[3]Serv!$I$11</definedName>
    <definedName name="cb" localSheetId="2">#REF!</definedName>
    <definedName name="cb">#REF!</definedName>
    <definedName name="ccc" localSheetId="2">#REF!</definedName>
    <definedName name="ccc">#REF!</definedName>
    <definedName name="CélulaInicioPlanilha" localSheetId="2">#REF!</definedName>
    <definedName name="CélulaInicioPlanilha">#REF!</definedName>
    <definedName name="CélulaResumo" localSheetId="2">#REF!</definedName>
    <definedName name="CélulaResumo">#REF!</definedName>
    <definedName name="cer" localSheetId="2">#REF!</definedName>
    <definedName name="cer">#REF!</definedName>
    <definedName name="_xlnm.Criteria" localSheetId="2">#REF!</definedName>
    <definedName name="_xlnm.Criteria">#REF!</definedName>
    <definedName name="CRITERIOS2" localSheetId="2">#REF!</definedName>
    <definedName name="CRITERIOS2">#REF!</definedName>
    <definedName name="dssds" localSheetId="2">#REF!</definedName>
    <definedName name="dssds">#REF!</definedName>
    <definedName name="EMPRESAS">OFFSET([4]COTAÇÕES!$C$26,1,0):OFFSET([4]COTAÇÕES!$I$42,-1,0)</definedName>
    <definedName name="Exist" localSheetId="2">#REF!</definedName>
    <definedName name="Exist">#REF!</definedName>
    <definedName name="F" localSheetId="2" hidden="1">#REF!</definedName>
    <definedName name="F" hidden="1">#REF!</definedName>
    <definedName name="fdfd" localSheetId="2">#REF!</definedName>
    <definedName name="fdfd">#REF!</definedName>
    <definedName name="g" localSheetId="2" hidden="1">#REF!</definedName>
    <definedName name="g" hidden="1">#REF!</definedName>
    <definedName name="h" localSheetId="2" hidden="1">#REF!</definedName>
    <definedName name="h" hidden="1">#REF!</definedName>
    <definedName name="I" localSheetId="2" hidden="1">[5]Poço!#REF!</definedName>
    <definedName name="I" hidden="1">[5]Poço!#REF!</definedName>
    <definedName name="INCC">[3]Mat!$J$9</definedName>
    <definedName name="INCC1">[3]Serv!$I$10</definedName>
    <definedName name="INDICES">OFFSET([4]COTAÇÕES!$C$21,1,0):OFFSET([4]COTAÇÕES!$J$25,-1,0)</definedName>
    <definedName name="j" localSheetId="2">#REF!</definedName>
    <definedName name="j">#REF!</definedName>
    <definedName name="jfhdskjg" localSheetId="2">#REF!</definedName>
    <definedName name="jfhdskjg">#REF!</definedName>
    <definedName name="K" localSheetId="2">#REF!</definedName>
    <definedName name="K">#REF!</definedName>
    <definedName name="kapa">[6]resumo!$D$2</definedName>
    <definedName name="KAPA1" localSheetId="2">#REF!</definedName>
    <definedName name="KAPA1">#REF!</definedName>
    <definedName name="KAPAs">[3]Serv!$E$9</definedName>
    <definedName name="Ks">'[7]SERVIÇOS '!$G$10</definedName>
    <definedName name="lista" localSheetId="2">#REF!</definedName>
    <definedName name="lista">#REF!</definedName>
    <definedName name="lista.coluna" localSheetId="2">#REF!</definedName>
    <definedName name="lista.coluna">#REF!</definedName>
    <definedName name="lista.linha" localSheetId="2">#REF!</definedName>
    <definedName name="lista.linha">#REF!</definedName>
    <definedName name="Macro1">#N/A</definedName>
    <definedName name="MATBDI" localSheetId="2">#REF!</definedName>
    <definedName name="MATBDI">#REF!</definedName>
    <definedName name="nil" localSheetId="2">#REF!</definedName>
    <definedName name="nil">#REF!</definedName>
    <definedName name="nilo" localSheetId="2">#REF!</definedName>
    <definedName name="nilo">#REF!</definedName>
    <definedName name="ok">#REF!</definedName>
    <definedName name="orçamento" localSheetId="2">#REF!</definedName>
    <definedName name="orçamento">#REF!</definedName>
    <definedName name="POP" localSheetId="2">#REF!</definedName>
    <definedName name="POP">#REF!</definedName>
    <definedName name="Print_Area_MI" localSheetId="2">#REF!</definedName>
    <definedName name="Print_Area_MI">#REF!</definedName>
    <definedName name="PRINT2" localSheetId="2">#REF!</definedName>
    <definedName name="PRINT2">#REF!</definedName>
    <definedName name="QTD">[8]Serviços!$E$7</definedName>
    <definedName name="Recalque" localSheetId="2">#REF!</definedName>
    <definedName name="Recalque">#REF!</definedName>
    <definedName name="Referencia.Descricao">IF(ISNUMBER([9]PO!linhaSINAPIxls),INDEX(INDIRECT("'[Referência "&amp;_xlnm.Database&amp;".xls]Banco'!$b:$g"),[9]PO!linhaSINAPIxls,3),"")</definedName>
    <definedName name="Referencia.Unidade">IF(ISNUMBER([9]PO!linhaSINAPIxls),INDEX(INDIRECT("'[Referência "&amp;_xlnm.Database&amp;".xls]Banco'!$b:$g"),[9]PO!linhaSINAPIxls,4),"")</definedName>
    <definedName name="s" localSheetId="2">#REF!</definedName>
    <definedName name="s">#REF!</definedName>
    <definedName name="sadsdf" localSheetId="2">#REF!</definedName>
    <definedName name="sadsdf">#REF!</definedName>
    <definedName name="sddddddddddd" localSheetId="2">#REF!</definedName>
    <definedName name="sddddddddddd">#REF!</definedName>
    <definedName name="TABELA" localSheetId="2">'[10]PLANILHA FONTE'!$B$1:$G$290</definedName>
    <definedName name="TABELA">'[11]PLANILHA FONTE'!$B$1:$G$290</definedName>
    <definedName name="TipoOrçamento">"BASE"</definedName>
    <definedName name="_xlnm.Print_Titles" localSheetId="2">'COMPOSIÇÕES PRÓPRIAS'!$2:$6</definedName>
    <definedName name="_xlnm.Print_Titles" localSheetId="1">CRONOGRAMA!$1:$9</definedName>
    <definedName name="_xlnm.Print_Titles" localSheetId="0">ORÇAMENTO!$1:$9</definedName>
    <definedName name="truncar" localSheetId="2">[3]Serv!#REF!</definedName>
    <definedName name="truncar">[3]Serv!#REF!</definedName>
    <definedName name="vhvb" localSheetId="2">#REF!</definedName>
    <definedName name="vhvb">#REF!</definedName>
    <definedName name="vvvvvvvvvvvvvv" localSheetId="2">#REF!</definedName>
    <definedName name="vvvvvvvvvvvvvv">#REF!</definedName>
  </definedNames>
  <calcPr calcId="191029"/>
</workbook>
</file>

<file path=xl/calcChain.xml><?xml version="1.0" encoding="utf-8"?>
<calcChain xmlns="http://schemas.openxmlformats.org/spreadsheetml/2006/main">
  <c r="I104" i="47" l="1"/>
  <c r="I25" i="8"/>
  <c r="K28" i="8"/>
  <c r="N34" i="8"/>
  <c r="K43" i="8"/>
  <c r="K40" i="8"/>
  <c r="E19" i="8"/>
  <c r="N31" i="8"/>
  <c r="N28" i="8"/>
  <c r="M31" i="8"/>
  <c r="L34" i="8"/>
  <c r="L31" i="8"/>
  <c r="M28" i="8"/>
  <c r="K25" i="8"/>
  <c r="J25" i="8"/>
  <c r="J22" i="8"/>
  <c r="H22" i="8"/>
  <c r="G25" i="8"/>
  <c r="H25" i="8"/>
  <c r="F22" i="8"/>
  <c r="F19" i="8"/>
  <c r="E22" i="8"/>
  <c r="D19" i="8"/>
  <c r="O13" i="8"/>
  <c r="O14" i="8"/>
  <c r="N14" i="8"/>
  <c r="M14" i="8"/>
  <c r="L14" i="8"/>
  <c r="K14" i="8"/>
  <c r="J14" i="8"/>
  <c r="I14" i="8"/>
  <c r="I13" i="8" s="1"/>
  <c r="H14" i="8"/>
  <c r="H13" i="8" s="1"/>
  <c r="G14" i="8"/>
  <c r="F14" i="8"/>
  <c r="E14" i="8"/>
  <c r="N13" i="8"/>
  <c r="M13" i="8"/>
  <c r="L13" i="8"/>
  <c r="K13" i="8"/>
  <c r="J13" i="8"/>
  <c r="G13" i="8"/>
  <c r="F13" i="8"/>
  <c r="E13" i="8"/>
  <c r="D14" i="8"/>
  <c r="J19" i="41"/>
  <c r="B46" i="8"/>
  <c r="B43" i="8"/>
  <c r="B40" i="8"/>
  <c r="B37" i="8"/>
  <c r="B34" i="8"/>
  <c r="B31" i="8"/>
  <c r="B28" i="8"/>
  <c r="B25" i="8"/>
  <c r="B22" i="8"/>
  <c r="B19" i="8"/>
  <c r="B16" i="8"/>
  <c r="B13" i="8"/>
  <c r="B10" i="8"/>
  <c r="AE97" i="47"/>
  <c r="D94" i="47"/>
  <c r="G93" i="47"/>
  <c r="H93" i="47" s="1"/>
  <c r="H92" i="47"/>
  <c r="H90" i="47"/>
  <c r="H89" i="47"/>
  <c r="H88" i="47"/>
  <c r="H87" i="47"/>
  <c r="I87" i="47" s="1"/>
  <c r="H86" i="47"/>
  <c r="I86" i="47" s="1"/>
  <c r="G85" i="47"/>
  <c r="H85" i="47" s="1"/>
  <c r="G84" i="47"/>
  <c r="H84" i="47" s="1"/>
  <c r="H83" i="47"/>
  <c r="I83" i="47" s="1"/>
  <c r="H81" i="47"/>
  <c r="H80" i="47"/>
  <c r="H79" i="47"/>
  <c r="H78" i="47"/>
  <c r="H77" i="47"/>
  <c r="H76" i="47"/>
  <c r="H75" i="47"/>
  <c r="H74" i="47"/>
  <c r="H73" i="47"/>
  <c r="H72" i="47"/>
  <c r="G71" i="47"/>
  <c r="H71" i="47" s="1"/>
  <c r="G70" i="47"/>
  <c r="H70" i="47" s="1"/>
  <c r="G69" i="47"/>
  <c r="H69" i="47" s="1"/>
  <c r="H67" i="47"/>
  <c r="H66" i="47"/>
  <c r="H65" i="47"/>
  <c r="H63" i="47"/>
  <c r="H62" i="47"/>
  <c r="H61" i="47"/>
  <c r="H59" i="47"/>
  <c r="H58" i="47"/>
  <c r="I58" i="47" s="1"/>
  <c r="H57" i="47"/>
  <c r="H56" i="47"/>
  <c r="H55" i="47"/>
  <c r="H53" i="47"/>
  <c r="H52" i="47"/>
  <c r="H51" i="47"/>
  <c r="H49" i="47"/>
  <c r="H48" i="47"/>
  <c r="H47" i="47"/>
  <c r="H46" i="47"/>
  <c r="H44" i="47"/>
  <c r="H43" i="47"/>
  <c r="H42" i="47"/>
  <c r="H41" i="47"/>
  <c r="H40" i="47"/>
  <c r="H39" i="47"/>
  <c r="H38" i="47"/>
  <c r="H37" i="47"/>
  <c r="H36" i="47"/>
  <c r="H35" i="47"/>
  <c r="H34" i="47"/>
  <c r="H33" i="47"/>
  <c r="H32" i="47"/>
  <c r="H30" i="47"/>
  <c r="H29" i="47"/>
  <c r="H28" i="47"/>
  <c r="H27" i="47"/>
  <c r="H26" i="47"/>
  <c r="H25" i="47"/>
  <c r="H24" i="47"/>
  <c r="H23" i="47"/>
  <c r="G22" i="47"/>
  <c r="H22" i="47" s="1"/>
  <c r="H21" i="47"/>
  <c r="H19" i="47"/>
  <c r="H18" i="47"/>
  <c r="H17" i="47"/>
  <c r="G15" i="47"/>
  <c r="H15" i="47" s="1"/>
  <c r="H13" i="47"/>
  <c r="H12" i="47"/>
  <c r="H11" i="47"/>
  <c r="K18" i="41"/>
  <c r="J18" i="41"/>
  <c r="M52" i="8" l="1"/>
  <c r="I13" i="47"/>
  <c r="I15" i="47"/>
  <c r="I14" i="47" s="1"/>
  <c r="C13" i="8" s="1"/>
  <c r="I38" i="47"/>
  <c r="I41" i="47"/>
  <c r="I52" i="47"/>
  <c r="I59" i="47"/>
  <c r="I84" i="47"/>
  <c r="I92" i="47"/>
  <c r="I11" i="47"/>
  <c r="I25" i="47"/>
  <c r="I53" i="47"/>
  <c r="I61" i="47"/>
  <c r="I76" i="47"/>
  <c r="I78" i="47"/>
  <c r="I80" i="47"/>
  <c r="I67" i="47"/>
  <c r="I69" i="47"/>
  <c r="I73" i="47"/>
  <c r="I42" i="47"/>
  <c r="I24" i="47"/>
  <c r="I34" i="47"/>
  <c r="I71" i="47"/>
  <c r="I88" i="47"/>
  <c r="I23" i="47"/>
  <c r="I27" i="47"/>
  <c r="I35" i="47"/>
  <c r="I37" i="47"/>
  <c r="I74" i="47"/>
  <c r="I75" i="47"/>
  <c r="I77" i="47"/>
  <c r="I79" i="47"/>
  <c r="I81" i="47"/>
  <c r="I90" i="47"/>
  <c r="I93" i="47"/>
  <c r="I12" i="47"/>
  <c r="I43" i="47"/>
  <c r="I70" i="47"/>
  <c r="I85" i="47"/>
  <c r="I89" i="47"/>
  <c r="I18" i="47"/>
  <c r="I56" i="47"/>
  <c r="I72" i="47"/>
  <c r="I26" i="47"/>
  <c r="I30" i="47"/>
  <c r="I32" i="47"/>
  <c r="I33" i="47"/>
  <c r="I36" i="47"/>
  <c r="I51" i="47"/>
  <c r="I62" i="47"/>
  <c r="I63" i="47"/>
  <c r="I82" i="47" l="1"/>
  <c r="C43" i="8" s="1"/>
  <c r="I19" i="47"/>
  <c r="I46" i="47"/>
  <c r="I21" i="47"/>
  <c r="I49" i="47"/>
  <c r="I47" i="47"/>
  <c r="I60" i="47"/>
  <c r="C34" i="8" s="1"/>
  <c r="I10" i="47"/>
  <c r="C10" i="8" s="1"/>
  <c r="I44" i="47"/>
  <c r="I40" i="47"/>
  <c r="I50" i="47"/>
  <c r="C28" i="8" s="1"/>
  <c r="I39" i="47"/>
  <c r="I57" i="47"/>
  <c r="I28" i="47"/>
  <c r="I55" i="47"/>
  <c r="I91" i="47"/>
  <c r="C46" i="8" s="1"/>
  <c r="I17" i="47"/>
  <c r="I29" i="47"/>
  <c r="I48" i="47"/>
  <c r="I22" i="47"/>
  <c r="I68" i="47"/>
  <c r="C40" i="8" s="1"/>
  <c r="O40" i="8" l="1"/>
  <c r="O46" i="8"/>
  <c r="O43" i="8"/>
  <c r="I31" i="47"/>
  <c r="C22" i="8" s="1"/>
  <c r="I20" i="47"/>
  <c r="C19" i="8" s="1"/>
  <c r="I54" i="47"/>
  <c r="C31" i="8" s="1"/>
  <c r="I16" i="47"/>
  <c r="C16" i="8" s="1"/>
  <c r="I45" i="47"/>
  <c r="C25" i="8" s="1"/>
  <c r="O52" i="8" l="1"/>
  <c r="E52" i="8"/>
  <c r="Q43" i="8"/>
  <c r="Q46" i="8"/>
  <c r="I52" i="8"/>
  <c r="G22" i="8"/>
  <c r="I65" i="47"/>
  <c r="I66" i="47"/>
  <c r="G52" i="8" l="1"/>
  <c r="I64" i="47"/>
  <c r="I96" i="47" l="1"/>
  <c r="C37" i="8"/>
  <c r="I99" i="47"/>
  <c r="N52" i="8" l="1"/>
  <c r="L52" i="8"/>
  <c r="H52" i="8"/>
  <c r="F52" i="8"/>
  <c r="C49" i="8"/>
  <c r="J52" i="8"/>
  <c r="I101" i="47"/>
  <c r="K96" i="47"/>
  <c r="N53" i="8" l="1"/>
  <c r="M53" i="8"/>
  <c r="L53" i="8"/>
  <c r="G53" i="8"/>
  <c r="E53" i="8"/>
  <c r="F53" i="8"/>
  <c r="H53" i="8"/>
  <c r="J53" i="8"/>
  <c r="I53" i="8"/>
  <c r="A6" i="41" l="1"/>
  <c r="A5" i="41"/>
  <c r="A4" i="41"/>
  <c r="E19" i="41"/>
  <c r="E18" i="41"/>
  <c r="G18" i="41" s="1"/>
  <c r="J20" i="41"/>
  <c r="I38" i="41"/>
  <c r="G38" i="41"/>
  <c r="I37" i="41"/>
  <c r="G37" i="41"/>
  <c r="I36" i="41"/>
  <c r="G36" i="41"/>
  <c r="I35" i="41"/>
  <c r="G35" i="41"/>
  <c r="I34" i="41"/>
  <c r="G34" i="41"/>
  <c r="I33" i="41"/>
  <c r="G33" i="41"/>
  <c r="I32" i="41"/>
  <c r="G32" i="41"/>
  <c r="G19" i="41"/>
  <c r="Q40" i="8" l="1"/>
  <c r="I141" i="41"/>
  <c r="I136" i="41"/>
  <c r="G138" i="41"/>
  <c r="G137" i="41"/>
  <c r="G136" i="41"/>
  <c r="I142" i="41"/>
  <c r="G142" i="41"/>
  <c r="G141" i="41"/>
  <c r="I140" i="41"/>
  <c r="G140" i="41"/>
  <c r="I139" i="41"/>
  <c r="G139" i="41"/>
  <c r="I138" i="41"/>
  <c r="I137" i="41"/>
  <c r="I124" i="41"/>
  <c r="G124" i="41"/>
  <c r="I123" i="41"/>
  <c r="G123" i="41"/>
  <c r="I122" i="41"/>
  <c r="G122" i="41"/>
  <c r="I121" i="41"/>
  <c r="G121" i="41"/>
  <c r="I120" i="41"/>
  <c r="G120" i="41"/>
  <c r="I119" i="41"/>
  <c r="G119" i="41"/>
  <c r="E118" i="41"/>
  <c r="G118" i="41" s="1"/>
  <c r="I117" i="41"/>
  <c r="G117" i="41"/>
  <c r="I116" i="41"/>
  <c r="G116" i="41"/>
  <c r="I104" i="41"/>
  <c r="G104" i="41"/>
  <c r="I103" i="41"/>
  <c r="G103" i="41"/>
  <c r="I102" i="41"/>
  <c r="G102" i="41"/>
  <c r="I101" i="41"/>
  <c r="G101" i="41"/>
  <c r="I100" i="41"/>
  <c r="G100" i="41"/>
  <c r="I99" i="41"/>
  <c r="G99" i="41"/>
  <c r="I98" i="41"/>
  <c r="G98" i="41"/>
  <c r="G143" i="41" l="1"/>
  <c r="I143" i="41"/>
  <c r="G105" i="41"/>
  <c r="G125" i="41"/>
  <c r="I118" i="41"/>
  <c r="I125" i="41" s="1"/>
  <c r="I105" i="41"/>
  <c r="F132" i="41" l="1"/>
  <c r="H132" i="41"/>
  <c r="H94" i="41"/>
  <c r="H112" i="41"/>
  <c r="F94" i="41"/>
  <c r="F112" i="41"/>
  <c r="I85" i="41" l="1"/>
  <c r="I82" i="41"/>
  <c r="G82" i="41"/>
  <c r="G68" i="41"/>
  <c r="I81" i="41"/>
  <c r="G81" i="41"/>
  <c r="I83" i="41"/>
  <c r="G83" i="41"/>
  <c r="I84" i="41"/>
  <c r="G84" i="41"/>
  <c r="G85" i="41"/>
  <c r="I68" i="41"/>
  <c r="I67" i="41"/>
  <c r="G67" i="41"/>
  <c r="I66" i="41"/>
  <c r="G66" i="41"/>
  <c r="I80" i="41"/>
  <c r="G86" i="41"/>
  <c r="G80" i="41"/>
  <c r="I69" i="41" l="1"/>
  <c r="G69" i="41"/>
  <c r="I39" i="41"/>
  <c r="G39" i="41"/>
  <c r="I19" i="41"/>
  <c r="I18" i="41"/>
  <c r="H62" i="41" l="1"/>
  <c r="F62" i="41"/>
  <c r="H28" i="41"/>
  <c r="F28" i="41"/>
  <c r="G20" i="41"/>
  <c r="I20" i="41"/>
  <c r="H14" i="41" l="1"/>
  <c r="F14" i="41"/>
  <c r="I86" i="41" l="1"/>
  <c r="I87" i="41" l="1"/>
  <c r="G87" i="41"/>
  <c r="F76" i="41" l="1"/>
  <c r="H76" i="41"/>
  <c r="L584" i="41" l="1"/>
  <c r="I54" i="41"/>
  <c r="G54" i="41"/>
  <c r="I53" i="41"/>
  <c r="G53" i="41"/>
  <c r="I52" i="41"/>
  <c r="G52" i="41"/>
  <c r="I51" i="41"/>
  <c r="G51" i="41"/>
  <c r="I55" i="41" l="1"/>
  <c r="G55" i="41"/>
  <c r="B8" i="22"/>
  <c r="B7" i="22"/>
  <c r="B6" i="22"/>
  <c r="H47" i="41" l="1"/>
  <c r="F47" i="41"/>
  <c r="O37" i="8" l="1"/>
  <c r="Q37" i="8" s="1"/>
  <c r="K52" i="8" l="1"/>
  <c r="C44" i="8" l="1"/>
  <c r="Q58" i="8" l="1"/>
  <c r="R60" i="8" s="1"/>
  <c r="C47" i="8"/>
  <c r="E21" i="22" l="1"/>
  <c r="D24" i="22"/>
  <c r="D28" i="22" s="1"/>
  <c r="B5" i="8" l="1"/>
  <c r="B4" i="8"/>
  <c r="B3" i="8"/>
  <c r="Q31" i="8" l="1"/>
  <c r="Q34" i="8" l="1"/>
  <c r="Q28" i="8" l="1"/>
  <c r="Q22" i="8" l="1"/>
  <c r="Q25" i="8" l="1"/>
  <c r="D16" i="8" l="1"/>
  <c r="Q16" i="8" l="1"/>
  <c r="Q19" i="8" l="1"/>
  <c r="D10" i="8" l="1"/>
  <c r="Q10" i="8" l="1"/>
  <c r="D13" i="8" l="1"/>
  <c r="D52" i="8" s="1"/>
  <c r="D55" i="8" s="1"/>
  <c r="E55" i="8" s="1"/>
  <c r="F55" i="8" s="1"/>
  <c r="G55" i="8" s="1"/>
  <c r="H55" i="8" s="1"/>
  <c r="I55" i="8" s="1"/>
  <c r="J55" i="8" s="1"/>
  <c r="K55" i="8" s="1"/>
  <c r="L55" i="8" s="1"/>
  <c r="M55" i="8" s="1"/>
  <c r="N55" i="8" s="1"/>
  <c r="C38" i="8"/>
  <c r="E56" i="8" l="1"/>
  <c r="C14" i="8"/>
  <c r="C41" i="8"/>
  <c r="Q13" i="8"/>
  <c r="C26" i="8"/>
  <c r="C32" i="8"/>
  <c r="O53" i="8"/>
  <c r="C29" i="8"/>
  <c r="C50" i="8"/>
  <c r="C23" i="8"/>
  <c r="C11" i="8"/>
  <c r="C20" i="8"/>
  <c r="C35" i="8"/>
  <c r="K53" i="8"/>
  <c r="C17" i="8"/>
  <c r="C60" i="8"/>
  <c r="F56" i="8" l="1"/>
  <c r="D58" i="8"/>
  <c r="R58" i="8" s="1"/>
  <c r="D53" i="8"/>
  <c r="G56" i="8" l="1"/>
  <c r="D56" i="8"/>
  <c r="O55" i="8" l="1"/>
  <c r="H56" i="8"/>
  <c r="L56" i="8" l="1"/>
  <c r="M56" i="8"/>
  <c r="O56" i="8"/>
  <c r="I56" i="8"/>
  <c r="N56" i="8" l="1"/>
  <c r="J56" i="8"/>
  <c r="K56" i="8" l="1"/>
</calcChain>
</file>

<file path=xl/sharedStrings.xml><?xml version="1.0" encoding="utf-8"?>
<sst xmlns="http://schemas.openxmlformats.org/spreadsheetml/2006/main" count="970" uniqueCount="476">
  <si>
    <t>ITEM</t>
  </si>
  <si>
    <t>DESCRIÇÃO</t>
  </si>
  <si>
    <t>UN.</t>
  </si>
  <si>
    <t>SERVIÇOS PRELIMINARES</t>
  </si>
  <si>
    <t>2.1</t>
  </si>
  <si>
    <t>3.1</t>
  </si>
  <si>
    <t>3.2</t>
  </si>
  <si>
    <t>m</t>
  </si>
  <si>
    <t>4.1</t>
  </si>
  <si>
    <t>4.2</t>
  </si>
  <si>
    <t>5.1</t>
  </si>
  <si>
    <t>5.3</t>
  </si>
  <si>
    <t>5.4</t>
  </si>
  <si>
    <t>CÓDIGO</t>
  </si>
  <si>
    <t>PLANILHA ORÇAMENTÁRIA</t>
  </si>
  <si>
    <t>6.1</t>
  </si>
  <si>
    <t>6.2</t>
  </si>
  <si>
    <t>6.3</t>
  </si>
  <si>
    <t>TOTAL GERAL</t>
  </si>
  <si>
    <t>CRONOGRAMA FÍSICO FINANCEIRO</t>
  </si>
  <si>
    <t>ETAPA</t>
  </si>
  <si>
    <t>SERVIÇO</t>
  </si>
  <si>
    <t>MÊS/ DESEMBOLSO</t>
  </si>
  <si>
    <t>TOTAL ETAPA (R$)</t>
  </si>
  <si>
    <t>7.1</t>
  </si>
  <si>
    <t>7.2</t>
  </si>
  <si>
    <t>8.1</t>
  </si>
  <si>
    <t>9.1</t>
  </si>
  <si>
    <t>10.1</t>
  </si>
  <si>
    <t>10.3</t>
  </si>
  <si>
    <t>11.1</t>
  </si>
  <si>
    <t>11.2</t>
  </si>
  <si>
    <t>12.1</t>
  </si>
  <si>
    <t>12.3</t>
  </si>
  <si>
    <t>TRABALHOS EM TERRA</t>
  </si>
  <si>
    <t>ESTRUTURA</t>
  </si>
  <si>
    <t>COBERTA</t>
  </si>
  <si>
    <t>PAREDES E REVESTIMENTOS</t>
  </si>
  <si>
    <t>PISOS</t>
  </si>
  <si>
    <t>ESQUADRIAS</t>
  </si>
  <si>
    <t>PINTURA</t>
  </si>
  <si>
    <t>INSTALAÇÕES ELÉTRICAS</t>
  </si>
  <si>
    <t>DIVERSOS</t>
  </si>
  <si>
    <t>un</t>
  </si>
  <si>
    <t>INSTALAÇÕES HIDROSSANITÁRIAS</t>
  </si>
  <si>
    <t>INFRAESTRUTURA</t>
  </si>
  <si>
    <t>TOTAL (R$):</t>
  </si>
  <si>
    <t>1º MÊS</t>
  </si>
  <si>
    <t>2º MÊS</t>
  </si>
  <si>
    <t>3º MÊS</t>
  </si>
  <si>
    <t>MEDIA/MÊS</t>
  </si>
  <si>
    <t>QUANT.</t>
  </si>
  <si>
    <t>TOTAIS PARCIAIS</t>
  </si>
  <si>
    <t>SINAPI</t>
  </si>
  <si>
    <t>FONTE</t>
  </si>
  <si>
    <t>COMPOSIÇÃO DE BDI PARA SERVIÇOS GERAIS DE EDIFICAÇÕES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</si>
  <si>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</si>
  <si>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</si>
  <si>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</si>
  <si>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</si>
  <si>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</si>
  <si>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</si>
  <si>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</si>
  <si>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</si>
  <si>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</si>
  <si>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</si>
  <si>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</si>
  <si>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</si>
  <si>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</si>
  <si>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</si>
  <si>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</si>
  <si>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</si>
  <si>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</si>
  <si>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>I</t>
  </si>
  <si>
    <t>Taxa de Lucro</t>
  </si>
  <si>
    <t>L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</si>
  <si>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</si>
  <si>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</si>
  <si>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</si>
  <si>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</si>
  <si>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</si>
  <si>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</si>
  <si>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t>Fórmula BDI conforme Acórdão TCU 325/2007:</t>
  </si>
  <si>
    <t xml:space="preserve">Taxa de Tributos (Soma dos itens COFINS, ISS, PIS e CPRB) </t>
  </si>
  <si>
    <t>TOTAIS ACUMULADOS</t>
  </si>
  <si>
    <t>med</t>
  </si>
  <si>
    <t>*med=min</t>
  </si>
  <si>
    <t>min-med</t>
  </si>
  <si>
    <t>(BDI padrão Edificações com CPRB considerando M.O. de 40%)</t>
  </si>
  <si>
    <t>Taxa de Seguro e Taxa de Garantia</t>
  </si>
  <si>
    <t>S + G</t>
  </si>
  <si>
    <t>8.2</t>
  </si>
  <si>
    <t>CUSTO UNIT. S/BDI</t>
  </si>
  <si>
    <t>VALOR UNIT. C/BDI</t>
  </si>
  <si>
    <t>VALOR TOTAL (R$)</t>
  </si>
  <si>
    <t>H</t>
  </si>
  <si>
    <t>Composição</t>
  </si>
  <si>
    <t>M</t>
  </si>
  <si>
    <t xml:space="preserve">--&gt; </t>
  </si>
  <si>
    <t>CONSTRUÇÃO DE TAPUME METÁLICO EM TELHA DE AÇO TRAPEZOIDAL E=0,5MM, FIXADA COM ESTRUTURA DE MADEIRA</t>
  </si>
  <si>
    <t>M2</t>
  </si>
  <si>
    <t>13.1</t>
  </si>
  <si>
    <t>UN</t>
  </si>
  <si>
    <t>93358</t>
  </si>
  <si>
    <t>87879</t>
  </si>
  <si>
    <t>96620</t>
  </si>
  <si>
    <t>M3</t>
  </si>
  <si>
    <t>88485</t>
  </si>
  <si>
    <t>88489</t>
  </si>
  <si>
    <t>89957</t>
  </si>
  <si>
    <t>86888</t>
  </si>
  <si>
    <t>89353</t>
  </si>
  <si>
    <t>95544</t>
  </si>
  <si>
    <t>PLACA DE OBRA EM CHAPA DE ACO GALVANIZADO</t>
  </si>
  <si>
    <t>ESCAVAÇÃO MANUAL DE VALA COM PROFUNDIDADE MENOR OU IGUAL A 1,50 M.</t>
  </si>
  <si>
    <t>REATERRO MANUAL DE VALAS COM COMPACTAÇÃO MECANIZADA E/OU MANUAL COM AUXÍLIO DE SOQUETE.</t>
  </si>
  <si>
    <t>LASTRO DE CONCRETO MAGRO, APLICADO EM PISOS OU RADIERS, OU FUNDAÇÕES.</t>
  </si>
  <si>
    <t>LAJE PRE-MOLDADA BETA 16 P/3,5KN/M2 VAO 5,2M INCL VIGOTAS, TIJOLOS/EPS, ARMADURA NEGATIVA, ARMADURA DE DISTRIBUIÇÃO (TELA Q-61), CAPEAMENTO 4CM CONCRETO 25MPA, ESCORAMENTO, MATERIAL E MAO DE OBRA.</t>
  </si>
  <si>
    <t>VERGA PRÉ-MOLDADA DE CONCRETO ARMADO PARA PORTAS.</t>
  </si>
  <si>
    <t>VERGA/ CONTRA-VERGA PRÉ-MOLDADA DE CONCRETO ARMADO PARA JANELAS.</t>
  </si>
  <si>
    <t>ALVENARIA DE VEDAÇÃO DE BLOCOS CERÂMICOS FURADOS NA HORIZONTAL DE 9X19X19CM (ESPESSURA 9CM) E ARGAMASSA DE ASSENTAMENTO COM PREPARO EM BETONEIRA.</t>
  </si>
  <si>
    <t>CHAPISCO APLICADO EM ALVENARIAS E ESTRUTURAS DE CONCRETO INTERNAS, COM COLHER DE PEDREIRO.  ARGAMASSA TRAÇO 1:3 COM PREPARO EM BETONEIRA 400L.</t>
  </si>
  <si>
    <t>EMBOÇO, PARA RECEBIMENTO DE CERÂMICA, EM ARGAMASSA TRAÇO 1:2:8, PREPARO MECÂNICO COM BETONEIRA 400L, APLICADO MANUALMENTE EM FACES INTERNAS/EXTERNAS DE PAREDES, ESPESSURA DE 20MM, COM EXECUÇÃO DE TALISCAS.</t>
  </si>
  <si>
    <t>REVESTIMENTO CERÂMICO PARA PAREDES INTERNAS COM PLACAS TIPO ESMALTADA EXTRA, GRÊS OU SEMI-GRÊS, TIPO A, PEI 4, DE DIMENSÕES 40X40CM OU 50X50CM OU 60X60CM</t>
  </si>
  <si>
    <t>LASTRO DE CONCRETO MAGRO, APLICADO EM PISOS OU RADIERS, ESPESSURA DE 5CM.</t>
  </si>
  <si>
    <t>REVESTIMENTO PARA PISO COM PLACAS TIPO PORCELANATO POLIDO, DE ALTA QUALIDADE, DIMENSÕES 60X60CM APLICADA SOBRE CONTRAPISO, INCLUINDO ARGAMASSA COLANTE DE ASSENTAMENTO E REJUNTE FLEXÍVEL</t>
  </si>
  <si>
    <t>FABRICAÇÃO E INSTALAÇÃO DE ESTRUTURA PONTALETADA DE MADEIRA NÃO APARELHADA PARA TELHADOS COM ATÉ 2 ÁGUAS E PARA TELHA ONDULADA DE FIBROCIMENTO, METÁLICA, PLÁSTICA OU TERMOACÚSTICA, INCLUSO TRANSPORTE VERTICAL.</t>
  </si>
  <si>
    <t>TELHAMENTO COM TELHA ONDULADA DE FIBROCIMENTO E = 6 MM, COM RECOBRIMENTO LATERAL DE 1/4 DE ONDA PARA TELHADO COM INCLINAÇÃO MAIOR QUE 10°, COM ATÉ 2 ÁGUAS, INCLUSO IÇAMENTO.</t>
  </si>
  <si>
    <t>TUBO PVC, SERIE NORMAL, ESGOTO PREDIAL, DN 150 MM, FORNECIDO E INSTALADO EM SUBCOLETOR AÉREO OU HORIZONTAL DE ESGOTO SANITÁRIO OU ÁGUAS PLUVIAIS, INCLUSIVE CONEXÕES.</t>
  </si>
  <si>
    <t>ESQUADRIA DE MADEIRA COM GRADE E FOLHA EM MADEIRA DE LEI PARA PORTAS EXTERNAS INCLUSIVE ASSENTAMENTO E FERRAGENS.</t>
  </si>
  <si>
    <t>APLICAÇÃO DE FUNDO SELADOR ACRÍLICO EM PAREDES, UMA DEMÃO.</t>
  </si>
  <si>
    <t>APLICAÇÃO MANUAL DE PINTURA COM TINTA LÁTEX ACRÍLICA EM PAREDES, DUAS DEMÃOS.</t>
  </si>
  <si>
    <t>PINTURA EM VERNIZ SINTETICO BRILHANTE SOBRE ESQUADRIAS DE MADEIRA, TRES DEMAOS</t>
  </si>
  <si>
    <t>PONTO DE ILUMINAÇÃO RESIDENCIAL INCLUINDO INTERRUPTOR SIMPLES, CAIXA ELÉTRICA, ELETRODUTO, CABO, RASGO, QUEBRA E CHUMBAMENTO (EXCLUINDO LUMINÁRIA E LÂMPADA).</t>
  </si>
  <si>
    <t>RELE FOTOELETRICO P/ COMANDO DE ILUMINACAO EXTERNA 220V/1000W - FORNECIMENTO E INSTALACAO</t>
  </si>
  <si>
    <t>LUMINÁRIA TIPO PLAFON EM PLÁSTICO, DE SOBREPOR, COM 1 LÂMPADA LED 10W - FORNECIMENTO E INSTALAÇÃO.</t>
  </si>
  <si>
    <t>DISJUNTOR TERMOMAGNETICO MONOPOLAR PADRAO NEMA OU DIN, 35 A 50A 240V, FORNECIMENTO E INSTALACAO</t>
  </si>
  <si>
    <t>PONTO DE CONSUMO TERMINAL DE ÁGUA FRIA (SUBRAMAL) COM TUBULAÇÃO DE PVC, DN 25 MM, INSTALADO EM RAMAL DE ÁGUA, INCLUSOS RASGO E CHUMBAMENTO EM ALVENARIA.</t>
  </si>
  <si>
    <t>PONTO DE ESGOTO PARA BACIA SANITARIA, INCLUSIVE TUBULACOES E CONEXOES EM PVC RIGIDO SOLDAVEIS, ATE A COLUNA OU O SUB-COLETOR</t>
  </si>
  <si>
    <t>PONTO DE ESGOTO PARA LAVATÓRIO OU MICTÓRIO , INCLUSIVE TUBULACOES E CONEXOES EM PVC RIGIDO SOLDAVEIS , ATE A COLUNA OU O SUB-COLETOR</t>
  </si>
  <si>
    <t>VASO SANITÁRIO SIFONADO COM CAIXA ACOPLADA LOUÇA BRANCA, INCLUSIVE TAMPA E ACESSÓRIOS CORRESPONDENTES - FORNECIMENTO E INSTALAÇÃO.</t>
  </si>
  <si>
    <t>LAVATÓRIO DE LOUÇA BRANCA SUSPENSO, 29,5 X 39CM OU EQUIVALENTE, PADRÃO MÉDIO, INCLUSIVE ACESSÓRIOS, VÁLVULA E SIFÃO - FORNECIMENTO E INSTALAÇÃO.</t>
  </si>
  <si>
    <t>REGISTRO DE GAVETA BRUTO, LATÃO, ROSCÁVEL, 3/4", FORNECIDO E INSTALADO EM RAMAL DE ÁGUA.</t>
  </si>
  <si>
    <t>PAPELEIRA DE PAREDE EM METAL CROMADO SEM TAMPA, INCLUSO FIXAÇÃO.</t>
  </si>
  <si>
    <t>LUMINÁRIA DE EMERGÊNCIA, 30 LEDS, 2W, BATERIA COM AUTONOMIA DE 6 HORAS - FORNECIMENTO E INSTALAÇÃO.</t>
  </si>
  <si>
    <t>LASTRO DE CONCRETO MAGRO, APLICADO EM PISOS OU RADIERS. AF_08/2017</t>
  </si>
  <si>
    <t>CHAPISCO APLICADO EM ALVENARIAS E ESTRUTURAS DE CONCRETO INTERNAS, COM COLHER DE PEDREIRO.  ARGAMASSA TRAÇO 1:3 COM PREPARO EM BETONEIRA 400L. AF_06/2014</t>
  </si>
  <si>
    <t>APLICAÇÃO DE FUNDO SELADOR ACRÍLICO EM PAREDES, UMA DEMÃO. AF_06/2014</t>
  </si>
  <si>
    <t>APLICAÇÃO MANUAL DE PINTURA COM TINTA LÁTEX ACRÍLICA EM PAREDES, DUAS DEMÃOS. AF_06/2014</t>
  </si>
  <si>
    <t>PONTO DE CONSUMO TERMINAL DE ÁGUA FRIA (SUBRAMAL) COM TUBULAÇÃO DE PVC, DN 25 MM, INSTALADO EM RAMAL DE ÁGUA, INCLUSOS RASGO E CHUMBAMENTO EM ALVENARIA. AF_12/2014</t>
  </si>
  <si>
    <t>REGISTRO DE GAVETA BRUTO, LATÃO, ROSCÁVEL, 3/4", FORNECIDO E INSTALADO EM RAMAL DE ÁGUA. AF_12/2014</t>
  </si>
  <si>
    <t>PAPELEIRA DE PAREDE EM METAL CROMADO SEM TAMPA, INCLUSO FIXAÇÃO. AF_10/2016</t>
  </si>
  <si>
    <t>001</t>
  </si>
  <si>
    <t>OK</t>
  </si>
  <si>
    <t>004</t>
  </si>
  <si>
    <t>91953</t>
  </si>
  <si>
    <t>INTERRUPTOR SIMPLES (1 MÓDULO), 10A/250V, INCLUINDO SUPORTE E PLACA - FORNECIMENTO E INSTALAÇÃO. AF_12/2015</t>
  </si>
  <si>
    <t>005</t>
  </si>
  <si>
    <t>12.4</t>
  </si>
  <si>
    <t>VASO SANITÁRIO SIFONADO COM CAIXA ACOPLADA LOUÇA BRANCA, INCUSIVE ACESSÓRIOS - FORNECIMENTO E INSTALAÇÃO. AF_12/2013</t>
  </si>
  <si>
    <t>86943</t>
  </si>
  <si>
    <t>12.7</t>
  </si>
  <si>
    <t>12.8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</si>
  <si>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</si>
  <si>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</si>
  <si>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</si>
  <si>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</si>
  <si>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</si>
  <si>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</si>
  <si>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</si>
  <si>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</si>
  <si>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</si>
  <si>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ESCAVAÇÃO MANUAL DE VALA COM PROFUNDIDADE MENOR OU IGUAL A 1,30 M. AF_03/2016</t>
  </si>
  <si>
    <t>COMPOSIÇÕES DE CUSTOS UNITÁRIOS COMPLEMENTARES</t>
  </si>
  <si>
    <t>73611</t>
  </si>
  <si>
    <t>Código de referência (origem dos coeficientes da composição)</t>
  </si>
  <si>
    <t xml:space="preserve">Discriminação do código de referência: </t>
  </si>
  <si>
    <t>Unidade</t>
  </si>
  <si>
    <t>Preço Unitário Custo</t>
  </si>
  <si>
    <t>Quantidade</t>
  </si>
  <si>
    <t>COM DESONERAÇÂO</t>
  </si>
  <si>
    <t>SEM DESONERAÇÂO</t>
  </si>
  <si>
    <t xml:space="preserve">Fonte </t>
  </si>
  <si>
    <t>Código</t>
  </si>
  <si>
    <t>Coeficiente</t>
  </si>
  <si>
    <t>Custo
Unitário</t>
  </si>
  <si>
    <t>Custo
Total</t>
  </si>
  <si>
    <t>SINAPI
INSUMO</t>
  </si>
  <si>
    <t>7271</t>
  </si>
  <si>
    <t xml:space="preserve">UN    </t>
  </si>
  <si>
    <t>SINAPI
COMPOSIÇÃO</t>
  </si>
  <si>
    <t>88309</t>
  </si>
  <si>
    <t>PEDREIRO COM ENCARGOS COMPLEMENTARES</t>
  </si>
  <si>
    <t>88316</t>
  </si>
  <si>
    <t>SERVENTE COM ENCARGOS COMPLEMENTARES</t>
  </si>
  <si>
    <t>Total</t>
  </si>
  <si>
    <t>COMPOSIÇÃO 03</t>
  </si>
  <si>
    <t>CAIXA OCTOGONAL 3" X 3", PVC, INSTALADA EM LAJE - FORNECIMENTO E INSTALAÇÃO. AF_12/2015</t>
  </si>
  <si>
    <t>COMPOSIÇÃO 01</t>
  </si>
  <si>
    <t>101963</t>
  </si>
  <si>
    <t>LAJE PRÉ-MOLDADA UNIDIRECIONAL, BIAPOIADA, PARA PISO, ENCHIMENTO EM CERÂMICA, VIGOTA CONVENCIONAL, ALTURA TOTAL DA LAJE (ENCHIMENTO+CAPA) = (8+4). AF_11/2020</t>
  </si>
  <si>
    <t>94779</t>
  </si>
  <si>
    <t>(COMPOSIÇÃO REPRESENTATIVA) DO SERVIÇO DE CONTRAPISO EM ARGAMASSA TRAÇO 1:4 (CIM E AREIA), EM BETONEIRA 400 L, ESPESSURA 3 CM ÁREAS SECAS E 3 CM ÁREAS MOLHADAS, PARA EDIFICAÇÃO HABITACIONAL MULTIFAMILIAR (PRÉDIO). AF_11/2014</t>
  </si>
  <si>
    <t>COMPOSIÇÃO 02</t>
  </si>
  <si>
    <t>002</t>
  </si>
  <si>
    <t>COMPOSIÇÃO 04</t>
  </si>
  <si>
    <t>90447</t>
  </si>
  <si>
    <t>RASGO EM ALVENARIA PARA ELETRODUTOS COM DIAMETROS MENORES OU IGUAIS A 40 MM. AF_05/2015</t>
  </si>
  <si>
    <t>90456</t>
  </si>
  <si>
    <t>QUEBRA EM ALVENARIA PARA INSTALAÇÃO DE CAIXA DE TOMADA (4X4 OU 4X2). AF_05/2015</t>
  </si>
  <si>
    <t>90466</t>
  </si>
  <si>
    <t>CHUMBAMENTO LINEAR EM ALVENARIA PARA RAMAIS/DISTRIBUIÇÃO COM DIÂMETROS MENORES OU IGUAIS A 40 MM. AF_05/2015</t>
  </si>
  <si>
    <t>2,0000000</t>
  </si>
  <si>
    <t>91937</t>
  </si>
  <si>
    <t>91940</t>
  </si>
  <si>
    <t>CAIXA RETANGULAR 4" X 2" MÉDIA (1,30 M DO PISO), PVC, INSTALADA EM PAREDE - FORNECIMENTO E INSTALAÇÃO. AF_12/2015</t>
  </si>
  <si>
    <t>93137</t>
  </si>
  <si>
    <t>COMPOSIÇÃO 05</t>
  </si>
  <si>
    <t>COMPOSIÇÃO 06</t>
  </si>
  <si>
    <t>COMPOSIÇÃO 07</t>
  </si>
  <si>
    <t>11.0</t>
  </si>
  <si>
    <t>91926</t>
  </si>
  <si>
    <t>CABO DE COBRE FLEXÍVEL ISOLADO, 2,5 MM², ANTI-CHAMA 450/750 V, PARA CIRCUITOS TERMINAIS - FORNECIMENTO E INSTALAÇÃO. AF_12/2015</t>
  </si>
  <si>
    <t>COMPOSIÇÃO 08</t>
  </si>
  <si>
    <t>101890</t>
  </si>
  <si>
    <t>DISJUNTOR MONOPOLAR TIPO NEMA, CORRENTE NOMINAL DE 10 ATÉ 30A - FORNECIMENTO E INSTALAÇÃO. AF_10/2020</t>
  </si>
  <si>
    <t>96109</t>
  </si>
  <si>
    <t>FORRO EM PLACAS DE GESSO, PARA AMBIENTES RESIDENCIAIS. AF_05/2017_P</t>
  </si>
  <si>
    <t>1.0</t>
  </si>
  <si>
    <t>1.1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</si>
  <si>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</si>
  <si>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</si>
  <si>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</si>
  <si>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</si>
  <si>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</si>
  <si>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</si>
  <si>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</si>
  <si>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</si>
  <si>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</si>
  <si>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12.0</t>
  </si>
  <si>
    <t>13.0</t>
  </si>
  <si>
    <t>COMPOSIÇÃO</t>
  </si>
  <si>
    <t>SINAPI-PE 73935/2 (AGOSTO/2016)</t>
  </si>
  <si>
    <t>ALVENARIA EM TIJOLO CERAMICO FURADO 9X19X19CM, 1 VEZ (ESPESSURA 19 CM), ASSENTADO EM ARGAMASSA TRACO 1:4 (CIMENTO E AREIA MEDIA), PREPARO MANUAL, JUNTA 1 CM</t>
  </si>
  <si>
    <t>ALVENARIA EM TIJOLO CERAMICO FURADO 9X19X19CM, 1 VEZ (ESPESSURA 19 CM), ASSENTADO EM ARGAMASSA TRACO 1:4 (CIMENTO E AREIA MEDIA), PREPARO MECÂNICO, JUNTAS DE 1 CM</t>
  </si>
  <si>
    <t>88630</t>
  </si>
  <si>
    <t>ARGAMASSA TRAÇO 1:4 (CIMENTO E AREIA MÉDIA), PREPARO MECÂNICO COM BETONEIRA 400 L. AF_08/2014</t>
  </si>
  <si>
    <t>BLOCO CERAMICO / TIJOLO VAZADO PARA ALVENARIA DE VEDACAO, 8 FUROS NA HORIZONTAL, DE 9 X 19 X 19 CM (L XA X C)</t>
  </si>
  <si>
    <t>103328</t>
  </si>
  <si>
    <t>ALVENARIA DE VEDAÇÃO DE BLOCOS CERÂMICOS FURADOS NA HORIZONTAL DE 9X19X19 CM (ESPESSURA 9 CM) E ARGAMASSA DE ASSENTAMENTO COM PREPARO EM BETONEIRA. AF_12/2021</t>
  </si>
  <si>
    <t>87792</t>
  </si>
  <si>
    <t>EMBOÇO OU MASSA ÚNICA EM ARGAMASSA TRAÇO 1:2:8, PREPARO MECÂNICO COM BETONEIRA 400 L, APLICADA MANUALMENTE EM PANOS CEGOS DE FACHADA (SEM PRESENÇA DE VÃOS), ESPESSURA DE 25 MM. AF_06/2014</t>
  </si>
  <si>
    <t>90799</t>
  </si>
  <si>
    <t>KIT DE PORTA-PRONTA DE MADEIRA EM ACABAMENTO MELAMÍNICO BRANCO, FOLHA PESADA OU SUPERPESADA, E BATENTE METÁLICO, 90X210CM, FIXAÇÃO COM ARGAMASSA - FORNECIMENTO E INSTALAÇÃO. AF_12/2019</t>
  </si>
  <si>
    <t>102220</t>
  </si>
  <si>
    <t>PINTURA TINTA DE ACABAMENTO (PIGMENTADA) ESMALTE SINTÉTICO BRILHANTE EM MADEIRA, 2 DEMÃOS. AF_01/2021</t>
  </si>
  <si>
    <t>91844</t>
  </si>
  <si>
    <t>ELETRODUTO FLEXÍVEL CORRUGADO, PVC, DN 25 MM (3/4"), PARA CIRCUITOS TERMINAIS, INSTALADO EM LAJE - FORNECIMENTO E INSTALAÇÃO. AF_12/2015</t>
  </si>
  <si>
    <t>PONTO DE ILUMINAÇÃO RESIDENCIAL INCLUINDO INTERRUPTOR SIMPLES, CAIXA ELÉTRICA, ELETRODUTO, CABO, RASGO, QUEBRA E CHUMBAMENTO (EXCLUINDO LUMINÁRIA E LÂMPADA). AF_01/2016</t>
  </si>
  <si>
    <t>SINAPI-PE 93128 (JULHO/2020)</t>
  </si>
  <si>
    <t>PONTO DE ILUMINAÇÃO INSTALADO EM TETO OU FORRO, COM ELETRODUTO DE PVC FLEXÍVEL CORRUGADO DE 25 MM (3/4"), CABO DE COBRE ANTI-CHAMA DE 2,5 MM²</t>
  </si>
  <si>
    <t>91854</t>
  </si>
  <si>
    <t>ELETRODUTO FLEXÍVEL CORRUGADO, PVC, DN 25 MM (3/4"), PARA CIRCUITOS TERMINAIS, INSTALADO EM PAREDE - FORNECIMENTO E INSTALAÇÃO. AF_12/2015</t>
  </si>
  <si>
    <t>PONTO DE INTERRUPTOR SIMPLES, CAIXA RETANGULAR 4" X 2", ELETRODUTO DE PVC FLEXÍVEL CORRUGADO DE 25 MM (3/4"), CABO DE COBRE ANTI-CHAMA DE 2,5 MM², RASGO, QUEBRA E CHUMBAMENTO</t>
  </si>
  <si>
    <t>PONTO DE ESGOTO COM TUBO DE PVC RÍGIDO SOLDÁVEL DE Ø 100 MM (VASO SANITÁRIO)</t>
  </si>
  <si>
    <t>Código de referência (origem dos coeficientes da composição):</t>
  </si>
  <si>
    <t>ORSE 01683 (MAIO/2019)</t>
  </si>
  <si>
    <t>Unidade:</t>
  </si>
  <si>
    <t>Custo Unitário:</t>
  </si>
  <si>
    <t>Quantidade:</t>
  </si>
  <si>
    <t>122</t>
  </si>
  <si>
    <t>ADESIVO PLASTICO PARA PVC, FRASCO COM 850 GR</t>
  </si>
  <si>
    <t>13</t>
  </si>
  <si>
    <t>ESTOPA</t>
  </si>
  <si>
    <t xml:space="preserve">KG    </t>
  </si>
  <si>
    <t>3520</t>
  </si>
  <si>
    <t>JOELHO PVC, SOLDAVEL, PB, 90 GRAUS, DN 100 MM, PARA ESGOTO PREDIAL</t>
  </si>
  <si>
    <t>9836</t>
  </si>
  <si>
    <t>TUBO PVC  SERIE NORMAL, DN 100 MM, PARA ESGOTO  PREDIAL (NBR 5688)</t>
  </si>
  <si>
    <t xml:space="preserve">M     </t>
  </si>
  <si>
    <t>10908</t>
  </si>
  <si>
    <t>JUNCAO DE REDUCAO INVERTIDA, PVC SOLDAVEL, 100 X 50 MM, SERIE NORMAL PARA ESGOTO PREDIAL</t>
  </si>
  <si>
    <t>88267</t>
  </si>
  <si>
    <t>ENCANADOR OU BOMBEIRO HIDRÁULICO COM ENCARGOS COMPLEMENTARES</t>
  </si>
  <si>
    <t>PONTO DE ESGOTO COM TUBO DE PVC RÍGIDO SOLDÁVEL DE Ø 40 MM (LAVATÓRIOS, MICTÓRIOS, RALOS SIFONADOS, ETC.)</t>
  </si>
  <si>
    <t>ORSE 01679 (MAIO/2019)</t>
  </si>
  <si>
    <t>PONTO DE ESGOTO COM TUBO DE PVC RÍGIDO SOLDÁVEL DE Ø 40 MM (LAVATÓRIOS, MICTÓRIOS, RALOS SIFONADOS, ETC.). (CONF. COMPOSIÇÃO ORSE 01679)</t>
  </si>
  <si>
    <t>20078</t>
  </si>
  <si>
    <t>PASTA LUBRIFICANTE PARA TUBOS E CONEXOES COM JUNTA ELASTICA (USO EM PVC, ACO, POLIETILENO E OUTROS) ( DE *400* G)</t>
  </si>
  <si>
    <t>20083</t>
  </si>
  <si>
    <t>SOLUCAO LIMPADORA PARA PVC, FRASCO COM 1000 CM3</t>
  </si>
  <si>
    <t>3516</t>
  </si>
  <si>
    <t>JOELHO PVC, SOLDAVEL, BB, 45 GRAUS, DN 40 MM, PARA ESGOTO PREDIAL</t>
  </si>
  <si>
    <t>3517</t>
  </si>
  <si>
    <t>JOELHO PVC, SOLDAVEL, BB, 90 GRAUS, DN 40 MM, PARA ESGOTO PREDIAL</t>
  </si>
  <si>
    <t>3767</t>
  </si>
  <si>
    <t>LIXA EM FOLHA PARA PAREDE OU MADEIRA, NUMERO 120 (COR VERMELHA)</t>
  </si>
  <si>
    <t>9835</t>
  </si>
  <si>
    <t>TUBO PVC  SERIE NORMAL, DN 40 MM, PARA ESGOTO  PREDIAL (NBR 5688)</t>
  </si>
  <si>
    <t>006</t>
  </si>
  <si>
    <t>007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</si>
  <si>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</si>
  <si>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>GUARDA-CORPO EM TUBOS DE AÇO GALVANIZADO (ALTURA = 1.00), COM BARRAS VERTICAIS A CADA 2.00M (1 1/2"), BARRA HORIZONTAL INTERMEDIÁRIA (1 1/2") E BARRA HORIZONTAL SUPERIOR (1 1/2")</t>
  </si>
  <si>
    <t>03550/ORSE (DEZEMBRO/2020)</t>
  </si>
  <si>
    <t>COMPESA 11.01.02U (ABRIL 2017)</t>
  </si>
  <si>
    <t>Guarda-corpo em tubos de aço galvanizado (altura = 1.00), com barras verticais a cada 2.00m (1 1/2"), barra horizontal intermediária (1 1/2") e barra horizontal superior (2")</t>
  </si>
  <si>
    <t>mesmo da tabela compesa abril de 2017</t>
  </si>
  <si>
    <t>sinapi pe agosto de 2016 último ano a ser publicada</t>
  </si>
  <si>
    <t>21012</t>
  </si>
  <si>
    <t>TUBO ACO GALVANIZADO COM COSTURA, CLASSE LEVE, DN 40 MM ( 1 1/2"),  E = 3,00 MM,  *3,48* KG/M (NBR 5580)</t>
  </si>
  <si>
    <t>88315</t>
  </si>
  <si>
    <t>SERRALHEIRO COM ENCARGOS COMPLEMENTARES</t>
  </si>
  <si>
    <t>88317</t>
  </si>
  <si>
    <t>SOLDADOR COM ENCARGOS COMPLEMENTARES</t>
  </si>
  <si>
    <t>10997</t>
  </si>
  <si>
    <t>ELETRODO REVESTIDO AWS - E7018, DIAMETRO IGUAL A 4,00 MM</t>
  </si>
  <si>
    <t>94963</t>
  </si>
  <si>
    <t>CONCRETO FCK = 15MPA, TRAÇO 1:3,4:3,5 (CIMENTO/ AREIA MÉDIA/ BRITA 1)  - PREPARO MECÂNICO COM BETONEIRA 400 L. AF_07/2016</t>
  </si>
  <si>
    <t>SINAPI-I</t>
  </si>
  <si>
    <t>008</t>
  </si>
  <si>
    <t>5.2</t>
  </si>
  <si>
    <t>6.4</t>
  </si>
  <si>
    <t>7.3</t>
  </si>
  <si>
    <t>10.2</t>
  </si>
  <si>
    <t>11.3</t>
  </si>
  <si>
    <t>11.4</t>
  </si>
  <si>
    <t>12.2</t>
  </si>
  <si>
    <t>8.3</t>
  </si>
  <si>
    <t>12.5</t>
  </si>
  <si>
    <t>12.6</t>
  </si>
  <si>
    <t>13.2</t>
  </si>
  <si>
    <t>(**) A alíquota de ISS no Município do Brejo da Madre de Deus/PE é de 5% sobre os custos de mão de obra. 
Considerou-se para todos os serviços uma proporção de 40% de mão de obra, de modo que a taxa de ISS a incidir sobre os custos unitários dos itens será de 5% x 40% = 2,00%.</t>
  </si>
  <si>
    <t>103782</t>
  </si>
  <si>
    <t>LUMINÁRIA TIPO PLAFON CIRCULAR, DE SOBREPOR, COM LED DE 12/13 W - FORNECIMENTO E INSTALAÇÃO. AF_03/2022</t>
  </si>
  <si>
    <t>10.</t>
  </si>
  <si>
    <t>11.</t>
  </si>
  <si>
    <t>3.3</t>
  </si>
  <si>
    <t>003</t>
  </si>
  <si>
    <t>ADMINISTRAÇÃO</t>
  </si>
  <si>
    <t>LOCAL: DISTRITO MANDAÇAIA - BREJO MADRE DE DEUS/PE.</t>
  </si>
  <si>
    <t>103689</t>
  </si>
  <si>
    <t>FORNECIMENTO E INSTALAÇÃO DE PLACA DE OBRA COM CHAPA GALVANIZADA E ESTRUTURA DE MADEIRA. AF_03/2022_PS</t>
  </si>
  <si>
    <t>311,73</t>
  </si>
  <si>
    <t>ADMINISTRAÇÃO LOCAL DE OBRA</t>
  </si>
  <si>
    <t>93572</t>
  </si>
  <si>
    <t>93567</t>
  </si>
  <si>
    <t>ENCARREGADO GERAL DE OBRAS COM ENCARGOS COMPLEMENTARES</t>
  </si>
  <si>
    <t>MES</t>
  </si>
  <si>
    <t>ENGENHEIRO CIVIL DE OBRA PLENO COM ENCARGOS COMPLEMENTARES</t>
  </si>
  <si>
    <t>99059</t>
  </si>
  <si>
    <t>LOCACAO CONVENCIONAL DE OBRA, UTILIZANDO GABARITO DE TÁBUAS CORRIDAS PONTALETADAS A CADA 2,00M -  2 UTILIZAÇÕES. AF_10/2018</t>
  </si>
  <si>
    <t>98459</t>
  </si>
  <si>
    <t>TAPUME COM TELHA METÁLICA. AF_05/2018</t>
  </si>
  <si>
    <t>94319</t>
  </si>
  <si>
    <t>ATERRO MANUAL DE VALAS COM SOLO ARGILO-ARENOSO. AF_08/2023</t>
  </si>
  <si>
    <t>121,06</t>
  </si>
  <si>
    <t>5.911,16</t>
  </si>
  <si>
    <t>17.905,94</t>
  </si>
  <si>
    <t>20.723,89</t>
  </si>
  <si>
    <t>104737</t>
  </si>
  <si>
    <t>REATERRO MANUAL DE VALAS, COM PLACA VIBRATÓRIA. AF_08/2023</t>
  </si>
  <si>
    <t>635,70</t>
  </si>
  <si>
    <t>497,65</t>
  </si>
  <si>
    <t>508,87</t>
  </si>
  <si>
    <t>92541</t>
  </si>
  <si>
    <t>TRAMA DE MADEIRA COMPOSTA POR RIPAS, CAIBROS E TERÇAS PARA TELHADOS DE ATÉ 2 ÁGUAS PARA TELHA CERÂMICA CAPA-CANAL, INCLUSO TRANSPORTE VERTICAL. AF_07/2019</t>
  </si>
  <si>
    <t>94201</t>
  </si>
  <si>
    <t>TELHAMENTO COM TELHA CERÂMICA CAPA-CANAL, TIPO COLONIAL, COM ATÉ 2 ÁGUAS, INCLUSO TRANSPORTE VERTICAL. AF_07/2019</t>
  </si>
  <si>
    <t>89578</t>
  </si>
  <si>
    <t>TUBO PVC, SÉRIE R, ÁGUA PLUVIAL, DN 100 MM, FORNECIDO E INSTALADO EM CONDUTORES VERTICAIS DE ÁGUAS PLUVIAIS. AF_06/2022</t>
  </si>
  <si>
    <t>94229</t>
  </si>
  <si>
    <t>CALHA EM CHAPA DE AÇO GALVANIZADO NÚMERO 24, DESENVOLVIMENTO DE 100 CM, INCLUSO TRANSPORTE VERTICAL. AF_07/2019</t>
  </si>
  <si>
    <t>806,87</t>
  </si>
  <si>
    <t>90794</t>
  </si>
  <si>
    <t>KIT DE PORTA-PRONTA DE MADEIRA EM ACABAMENTO MELAMÍNICO BRANCO, FOLHA LEVE OU MÉDIA, E BATENTE METÁLICO, 60X210CM, FIXAÇÃO COM ARGAMASSA - FORNECIMENTO E INSTALAÇÃO. AF_12/2019</t>
  </si>
  <si>
    <t>525,43</t>
  </si>
  <si>
    <t>94573</t>
  </si>
  <si>
    <t>JANELA DE ALUMÍNIO DE CORRER COM 4 FOLHAS PARA VIDROS, COM VIDROS, BATENTE, ACABAMENTO COM ACETATO OU BRILHANTE E FERRAGENS. EXCLUSIVE ALIZAR E CONTRAMARCO. FORNECIMENTO E INSTALAÇÃO. AF_12/2019</t>
  </si>
  <si>
    <t>276,74</t>
  </si>
  <si>
    <t>91959</t>
  </si>
  <si>
    <t>INTERRUPTOR SIMPLES (2 MÓDULOS), 10A/250V, INCLUINDO SUPORTE E PLACA - FORNECIMENTO E INSTALAÇÃO. AF_03/2023</t>
  </si>
  <si>
    <t>PONTO DE INTERRUPTOR COM DOIS MODULOS, CAIXA RETANGULAR 4" X 2", ELETRODUTO DE PVC FLEXÍVEL CORRUGADO DE 25 MM (3/4"), CABO DE COBRE ANTI-CHAMA DE 2,5 MM², RASGO, QUEBRA E CHUMBAMENTO</t>
  </si>
  <si>
    <t>104475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</si>
  <si>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</si>
  <si>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>104476</t>
  </si>
  <si>
    <t>COMPOSIÇÃO PARAMÉTRICA DE PONTO ELÉTRICO DE TOMADA DE USO ESPECÍFICO 2P+T (20A/250V) EM EDIFÍCIO RESIDENCIAL COM ELETRODUTO EMBUTIDO EM RASGOS NAS PAREDES, INCLUSO TOMADA, ELETRODUTO, CABO, RASGO, QUEBRA E CHUMBAMENTO (EXCETO CHUVEIRO). AF_11/2022</t>
  </si>
  <si>
    <t xml:space="preserve">LUMINARIA LED REFLETOR RETANGULAR BIVOLT, LUZ BRANCA, 50 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</si>
  <si>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101880</t>
  </si>
  <si>
    <t>QUADRO DE DISTRIBUIÇÃO DE ENERGIA EM CHAPA DE AÇO GALVANIZADO, DE EMBUTIR, COM BARRAMENTO TRIFÁSICO, PARA 30 DISJUNTORES DIN 150A - FORNECIMENTO E INSTALAÇÃO. AF_10/2020</t>
  </si>
  <si>
    <t>102623</t>
  </si>
  <si>
    <t>CAIXA D´ÁGUA EM POLIETILENO, 1000 LITROS (INCLUSOS TUBOS, CONEXÕES E TORNEIRA DE BÓIA) - FORNECIMENTO E INSTALAÇÃO. AF_06/2021</t>
  </si>
  <si>
    <t>100868</t>
  </si>
  <si>
    <t>BARRA DE APOIO RETA, EM ACO INOX POLIDO, COMPRIMENTO 80 CM,  FIXADA NA PAREDE - FORNECIMENTO E INSTALAÇÃO. AF_01/2020</t>
  </si>
  <si>
    <t>96986</t>
  </si>
  <si>
    <t>HASTE DE ATERRAMENTO, DIÂMETRO 3/4", COM 3 METROS - FORNECIMENTO E INSTALAÇÃO. AF_08/2023</t>
  </si>
  <si>
    <t>DISPOSITIVO DR, 2 POLOS, SENSIBILIDADE DE 30 MA, CORRENTE DE 40 A, TIPO AC</t>
  </si>
  <si>
    <t>93658</t>
  </si>
  <si>
    <t>DISJUNTOR MONOPOLAR TIPO DIN, CORRENTE NOMINAL DE 40A - FORNECIMENTO E INSTALAÇÃO. AF_10/2020</t>
  </si>
  <si>
    <t>97599</t>
  </si>
  <si>
    <t>LUMINÁRIA DE EMERGÊNCIA, COM 30 LÂMPADAS LED DE 2 W, SEM REATOR - FORNECIMENTO E INSTALAÇÃO. AF_02/2020</t>
  </si>
  <si>
    <t>DATA BASE: FEVEREIRO/2024</t>
  </si>
  <si>
    <t>1.2</t>
  </si>
  <si>
    <t>1.3</t>
  </si>
  <si>
    <t>8.4</t>
  </si>
  <si>
    <t>8.5</t>
  </si>
  <si>
    <t>preço m2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</si>
  <si>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</si>
  <si>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</si>
  <si>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</si>
  <si>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</si>
  <si>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</si>
  <si>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</si>
  <si>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</si>
  <si>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</si>
  <si>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</si>
  <si>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OBRA: AMPLIAÇÃO DA ESCOLA MUNICIPAL PEREIRA DA COSTA</t>
  </si>
  <si>
    <t>104612</t>
  </si>
  <si>
    <t>REVESTIMENTO CERÂMICO PARA PAREDES INTERNAS COM PLACAS TIPO ESMALTADA EXTRA DE DIMENSÕES 60X60 CM APLICADAS A MEIA ALTURA DAS PAREDES. AF_02/2023_PE</t>
  </si>
  <si>
    <r>
      <rPr>
        <b/>
        <u/>
        <sz val="8"/>
        <rFont val="Calibri"/>
        <family val="2"/>
      </rPr>
      <t>COM</t>
    </r>
    <r>
      <rPr>
        <b/>
        <sz val="8"/>
        <rFont val="Calibri"/>
        <family val="2"/>
      </rPr>
      <t xml:space="preserve"> DESON</t>
    </r>
  </si>
  <si>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</t>
    </r>
  </si>
  <si>
    <r>
      <t xml:space="preserve">FONTES DE PREÇOS: SINAPI NOVEMBRO/2023 - </t>
    </r>
    <r>
      <rPr>
        <b/>
        <u/>
        <sz val="10"/>
        <rFont val="Calibri"/>
        <family val="2"/>
      </rPr>
      <t>SEM</t>
    </r>
    <r>
      <rPr>
        <b/>
        <sz val="10"/>
        <rFont val="Calibri"/>
        <family val="2"/>
      </rPr>
      <t xml:space="preserve"> DESONERAÇÃO - BDI ADOTADO: 20,50%</t>
    </r>
  </si>
  <si>
    <r>
      <t xml:space="preserve">ORÇAMENTO </t>
    </r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DESONERAÇÃO</t>
    </r>
  </si>
  <si>
    <t>96546</t>
  </si>
  <si>
    <t>ARMAÇÃO DE BLOCO, VIGA BALDRAME OU SAPATA UTILIZANDO AÇO CA-50 DE 10 MM - MONTAGEM. AF_06/2017</t>
  </si>
  <si>
    <t>KG</t>
  </si>
  <si>
    <t>92762</t>
  </si>
  <si>
    <t>ARMAÇÃO DE PILAR OU VIGA DE ESTRUTURA CONVENCIONAL DE CONCRETO ARMADO UTILIZANDO AÇO CA-50 DE 10,0 MM - MONTAGEM. AF_06/2022</t>
  </si>
  <si>
    <t>92763</t>
  </si>
  <si>
    <t>ARMAÇÃO DE PILAR OU VIGA DE ESTRUTURA CONVENCIONAL DE CONCRETO ARMADO UTILIZANDO AÇO CA-50 DE 12,5 MM - MONTAGEM. AF_06/2022</t>
  </si>
  <si>
    <t>92759</t>
  </si>
  <si>
    <t>ARMAÇÃO DE PILAR OU VIGA DE ESTRUTURA CONVENCIONAL DE CONCRETO ARMADO UTILIZANDO AÇO CA-60 DE 5,0 MM - MONTAGEM. AF_06/2022</t>
  </si>
  <si>
    <t>92760</t>
  </si>
  <si>
    <t>ARMAÇÃO DE PILAR OU VIGA DE ESTRUTURA CONVENCIONAL DE CONCRETO ARMADO UTILIZANDO AÇO CA-50 DE 6,3 MM - MONTAGEM. AF_06/2022</t>
  </si>
  <si>
    <t>94971</t>
  </si>
  <si>
    <t>CONCRETO FCK = 25MPA, TRAÇO 1:2,3:2,7 (EM MASSA SECA DE CIMENTO/ AREIA MÉDIA/ BRITA 1) - PREPARO MECÂNICO COM BETONEIRA 600 L. AF_05/2021</t>
  </si>
  <si>
    <t>103670</t>
  </si>
  <si>
    <t>LANÇAMENTO COM USO DE BALDES, ADENSAMENTO E ACABAMENTO DE CONCRETO EM ESTRUTURAS. AF_02/2022</t>
  </si>
  <si>
    <t>288,47</t>
  </si>
  <si>
    <t>96545</t>
  </si>
  <si>
    <t>ARMAÇÃO DE BLOCO, VIGA BALDRAME OU SAPATA UTILIZANDO AÇO CA-50 DE 8 MM - MONTAGEM. AF_06/2017</t>
  </si>
  <si>
    <t>96547</t>
  </si>
  <si>
    <t>ARMAÇÃO DE BLOCO, VIGA BALDRAME OU SAPATA UTILIZANDO AÇO CA-50 DE 12,5 MM - MONTAGEM. AF_06/2017</t>
  </si>
  <si>
    <t>92761</t>
  </si>
  <si>
    <t>ARMAÇÃO DE PILAR OU VIGA DE ESTRUTURA CONVENCIONAL DE CONCRETO ARMADO UTILIZANDO AÇO CA-50 DE 8,0 MM - MONTAGEM. AF_06/2022</t>
  </si>
  <si>
    <t>96536</t>
  </si>
  <si>
    <t>FABRICAÇÃO, MONTAGEM E DESMONTAGEM DE FÔRMA PARA VIGA BALDRAME, EM MADEIRA SERRADA, E=25 MM, 4 UTILIZAÇÕES. AF_06/2017</t>
  </si>
  <si>
    <t>104488</t>
  </si>
  <si>
    <t>COMPOSIÇÃO PARAMÉTRICA PARA EXECUÇÃO DE ESTRUTURAS DE CONCRETO ARMADO, PARA EDIFICAÇÃO INSTITUCIONAL TÉRREA, FCK = 25 MPA. AF_11/2022</t>
  </si>
  <si>
    <t>2.554,49</t>
  </si>
  <si>
    <t>92435</t>
  </si>
  <si>
    <t>MONTAGEM E DESMONTAGEM DE FÔRMA DE PILARES RETANGULARES E ESTRUTURAS SIMILARES, PÉ-DIREITO SIMPLES, EM CHAPA DE MADEIRA COMPENSADA PLASTIFICADA, 12 UTILIZAÇÕES. AF_09/2020</t>
  </si>
  <si>
    <t>92468</t>
  </si>
  <si>
    <t>MONTAGEM E DESMONTAGEM DE FÔRMA DE VIGA, ESCORAMENTO METÁLICO, PÉ-DIREITO SIMPLES, EM CHAPA DE MADEIRA PLASTIFICADA, 10 UTILIZAÇÕES. AF_09/2020</t>
  </si>
  <si>
    <t>87257</t>
  </si>
  <si>
    <t>REVESTIMENTO CERÂMICO PARA PISO COM PLACAS TIPO ESMALTADA EXTRA DE DIMENSÕES 60X60 CM APLICADA EM AMBIENTES DE ÁREA MAIOR QUE 10 M2. AF_02/2023_PE</t>
  </si>
  <si>
    <t>12.</t>
  </si>
  <si>
    <t>13.</t>
  </si>
  <si>
    <r>
      <t xml:space="preserve">BONIFICAÇÃO E DESPESAS INDIRETAS - </t>
    </r>
    <r>
      <rPr>
        <b/>
        <u/>
        <sz val="14"/>
        <rFont val="Calibri"/>
        <family val="2"/>
        <scheme val="minor"/>
      </rPr>
      <t>SEM</t>
    </r>
    <r>
      <rPr>
        <b/>
        <u/>
        <sz val="12"/>
        <rFont val="Calibri"/>
        <family val="2"/>
        <scheme val="minor"/>
      </rPr>
      <t xml:space="preserve"> DESONERAÇÃO</t>
    </r>
  </si>
  <si>
    <r>
      <t xml:space="preserve">De </t>
    </r>
    <r>
      <rPr>
        <b/>
        <sz val="10"/>
        <color theme="1"/>
        <rFont val="Calibri"/>
        <family val="2"/>
        <scheme val="minor"/>
      </rPr>
      <t>3,00%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5,50%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4,00%</t>
    </r>
  </si>
  <si>
    <r>
      <t xml:space="preserve">De </t>
    </r>
    <r>
      <rPr>
        <b/>
        <sz val="10"/>
        <color theme="1"/>
        <rFont val="Calibri"/>
        <family val="2"/>
        <scheme val="minor"/>
      </rPr>
      <t>0,59%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1,39%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1,23%</t>
    </r>
  </si>
  <si>
    <r>
      <t xml:space="preserve">De </t>
    </r>
    <r>
      <rPr>
        <b/>
        <sz val="10"/>
        <color theme="1"/>
        <rFont val="Calibri"/>
        <family val="2"/>
        <scheme val="minor"/>
      </rPr>
      <t>0,97%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1,27%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1,27%</t>
    </r>
  </si>
  <si>
    <r>
      <t xml:space="preserve">De </t>
    </r>
    <r>
      <rPr>
        <b/>
        <sz val="10"/>
        <color theme="1"/>
        <rFont val="Calibri"/>
        <family val="2"/>
        <scheme val="minor"/>
      </rPr>
      <t>0,80%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1,00%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0,80%</t>
    </r>
  </si>
  <si>
    <r>
      <t xml:space="preserve">De </t>
    </r>
    <r>
      <rPr>
        <b/>
        <sz val="10"/>
        <color theme="1"/>
        <rFont val="Calibri"/>
        <family val="2"/>
        <scheme val="minor"/>
      </rPr>
      <t>6,16%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8,96%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7,40%</t>
    </r>
  </si>
  <si>
    <r>
      <t xml:space="preserve">De </t>
    </r>
    <r>
      <rPr>
        <b/>
        <sz val="10"/>
        <color theme="1"/>
        <rFont val="Calibri"/>
        <family val="2"/>
        <scheme val="minor"/>
      </rPr>
      <t>20,34%</t>
    </r>
    <r>
      <rPr>
        <sz val="10"/>
        <color theme="1"/>
        <rFont val="Calibri"/>
        <family val="2"/>
        <scheme val="minor"/>
      </rPr>
      <t xml:space="preserve"> até </t>
    </r>
    <r>
      <rPr>
        <b/>
        <sz val="10"/>
        <color theme="1"/>
        <rFont val="Calibri"/>
        <family val="2"/>
        <scheme val="minor"/>
      </rPr>
      <t>25,00%</t>
    </r>
    <r>
      <rPr>
        <sz val="10"/>
        <color theme="1"/>
        <rFont val="Calibri"/>
        <family val="2"/>
        <scheme val="minor"/>
      </rPr>
      <t xml:space="preserve">; médio = </t>
    </r>
    <r>
      <rPr>
        <b/>
        <sz val="10"/>
        <color theme="1"/>
        <rFont val="Calibri"/>
        <family val="2"/>
        <scheme val="minor"/>
      </rPr>
      <t>22,12%</t>
    </r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</si>
  <si>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color rgb="FFFF0000"/>
        <rFont val="Calibri"/>
        <family val="2"/>
        <scheme val="minor"/>
      </rPr>
      <t>desoneradas</t>
    </r>
    <r>
      <rPr>
        <sz val="11"/>
        <color rgb="FFFF0000"/>
        <rFont val="Calibri"/>
        <family val="2"/>
        <scheme val="minor"/>
      </rPr>
      <t xml:space="preserve"> para elaboração do orçamento básico.</t>
    </r>
  </si>
  <si>
    <r>
      <rPr>
        <sz val="12"/>
        <color theme="1"/>
        <rFont val="Calibri"/>
        <family val="2"/>
        <scheme val="minor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Calibri"/>
        <family val="2"/>
        <scheme val="minor"/>
      </rPr>
      <t xml:space="preserve">
</t>
    </r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</si>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</sst>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 &quot;R$&quot;\ * #,##0.00_ ;_ &quot;R$&quot;\ * \-#,##0.00_ ;_ &quot;R$&quot;\ * &quot;-&quot;??_ ;_ @_ "/>
    <numFmt numFmtId="167" formatCode="_ * #,##0.00_ ;_ * \-#,##0.00_ ;_ * &quot;-&quot;??_ ;_ @_ "/>
    <numFmt numFmtId="168" formatCode="0.0%"/>
    <numFmt numFmtId="169" formatCode="0.000"/>
    <numFmt numFmtId="170" formatCode="_(* #,##0.00_);_(* \(#,##0.00\);_(* \-??_);_(@_)"/>
    <numFmt numFmtId="171" formatCode="0000"/>
    <numFmt numFmtId="172" formatCode="&quot;R$&quot;\ #,##0.00"/>
    <numFmt numFmtId="173" formatCode="0.0000"/>
    <numFmt numFmtId="174" formatCode="0.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8"/>
      <name val="Calibri"/>
      <family val="2"/>
    </font>
    <font>
      <b/>
      <u/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8"/>
      <color rgb="FF002060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sz val="5"/>
      <color rgb="FFFF0000"/>
      <name val="Calibri"/>
      <family val="2"/>
    </font>
    <font>
      <b/>
      <sz val="9"/>
      <name val="Calibri"/>
      <family val="2"/>
    </font>
    <font>
      <b/>
      <i/>
      <sz val="8"/>
      <name val="Calibri"/>
      <family val="2"/>
    </font>
    <font>
      <b/>
      <i/>
      <sz val="9"/>
      <name val="Calibri"/>
      <family val="2"/>
    </font>
    <font>
      <sz val="7"/>
      <color theme="0" tint="-0.14999847407452621"/>
      <name val="Calibri"/>
      <family val="2"/>
    </font>
    <font>
      <b/>
      <sz val="8"/>
      <color rgb="FF002060"/>
      <name val="Calibri"/>
      <family val="2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" fillId="0" borderId="0"/>
    <xf numFmtId="170" fontId="2" fillId="0" borderId="0" applyFill="0" applyBorder="0" applyAlignment="0" applyProtection="0"/>
    <xf numFmtId="0" fontId="13" fillId="0" borderId="0"/>
    <xf numFmtId="17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2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304">
    <xf numFmtId="0" fontId="0" fillId="0" borderId="0" xfId="0"/>
    <xf numFmtId="0" fontId="8" fillId="0" borderId="0" xfId="0" applyFont="1"/>
    <xf numFmtId="171" fontId="11" fillId="9" borderId="46" xfId="9" applyNumberFormat="1" applyFont="1" applyFill="1" applyBorder="1" applyAlignment="1">
      <alignment horizontal="justify" vertical="distributed" wrapText="1"/>
    </xf>
    <xf numFmtId="171" fontId="11" fillId="9" borderId="1" xfId="9" applyNumberFormat="1" applyFont="1" applyFill="1" applyBorder="1" applyAlignment="1">
      <alignment horizontal="justify" vertical="distributed" wrapText="1"/>
    </xf>
    <xf numFmtId="165" fontId="10" fillId="9" borderId="1" xfId="9" applyFont="1" applyFill="1" applyBorder="1" applyAlignment="1">
      <alignment horizontal="justify" vertical="distributed" wrapText="1"/>
    </xf>
    <xf numFmtId="165" fontId="10" fillId="9" borderId="33" xfId="9" applyFont="1" applyFill="1" applyBorder="1" applyAlignment="1">
      <alignment horizontal="justify" vertical="distributed" wrapText="1"/>
    </xf>
    <xf numFmtId="165" fontId="10" fillId="9" borderId="40" xfId="9" applyFont="1" applyFill="1" applyBorder="1" applyAlignment="1">
      <alignment vertical="distributed" wrapText="1"/>
    </xf>
    <xf numFmtId="0" fontId="11" fillId="0" borderId="0" xfId="0" applyFont="1"/>
    <xf numFmtId="0" fontId="17" fillId="0" borderId="0" xfId="2" applyFont="1" applyAlignment="1">
      <alignment horizontal="center" vertical="top"/>
    </xf>
    <xf numFmtId="0" fontId="9" fillId="0" borderId="0" xfId="2" applyFont="1" applyAlignment="1">
      <alignment horizontal="right" vertical="justify"/>
    </xf>
    <xf numFmtId="0" fontId="9" fillId="0" borderId="0" xfId="2" applyFont="1" applyAlignment="1">
      <alignment horizontal="center"/>
    </xf>
    <xf numFmtId="4" fontId="9" fillId="0" borderId="0" xfId="2" applyNumberFormat="1" applyFont="1" applyAlignment="1">
      <alignment horizontal="center"/>
    </xf>
    <xf numFmtId="0" fontId="9" fillId="0" borderId="0" xfId="0" applyFont="1"/>
    <xf numFmtId="0" fontId="18" fillId="0" borderId="5" xfId="2" applyFont="1" applyBorder="1" applyAlignment="1">
      <alignment horizontal="center"/>
    </xf>
    <xf numFmtId="0" fontId="9" fillId="0" borderId="5" xfId="0" applyFont="1" applyBorder="1"/>
    <xf numFmtId="4" fontId="9" fillId="0" borderId="5" xfId="0" applyNumberFormat="1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left" wrapText="1"/>
    </xf>
    <xf numFmtId="4" fontId="19" fillId="0" borderId="0" xfId="2" applyNumberFormat="1" applyFont="1" applyAlignment="1">
      <alignment horizontal="left" wrapText="1"/>
    </xf>
    <xf numFmtId="0" fontId="20" fillId="0" borderId="0" xfId="0" applyFont="1"/>
    <xf numFmtId="4" fontId="17" fillId="2" borderId="1" xfId="2" applyNumberFormat="1" applyFont="1" applyFill="1" applyBorder="1" applyAlignment="1">
      <alignment horizontal="center"/>
    </xf>
    <xf numFmtId="4" fontId="19" fillId="0" borderId="0" xfId="2" applyNumberFormat="1" applyFont="1" applyAlignment="1">
      <alignment horizontal="center"/>
    </xf>
    <xf numFmtId="10" fontId="17" fillId="2" borderId="1" xfId="1" applyNumberFormat="1" applyFont="1" applyFill="1" applyBorder="1" applyAlignment="1">
      <alignment horizontal="center"/>
    </xf>
    <xf numFmtId="0" fontId="19" fillId="0" borderId="0" xfId="2" applyFont="1" applyAlignment="1">
      <alignment horizontal="left" vertical="top"/>
    </xf>
    <xf numFmtId="0" fontId="17" fillId="2" borderId="29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4" fontId="17" fillId="2" borderId="31" xfId="2" applyNumberFormat="1" applyFont="1" applyFill="1" applyBorder="1" applyAlignment="1">
      <alignment horizontal="center" vertical="center"/>
    </xf>
    <xf numFmtId="4" fontId="17" fillId="2" borderId="29" xfId="2" applyNumberFormat="1" applyFont="1" applyFill="1" applyBorder="1" applyAlignment="1">
      <alignment horizontal="center" vertical="center" wrapText="1"/>
    </xf>
    <xf numFmtId="4" fontId="17" fillId="2" borderId="30" xfId="2" applyNumberFormat="1" applyFont="1" applyFill="1" applyBorder="1" applyAlignment="1">
      <alignment horizontal="center" vertical="center" wrapText="1"/>
    </xf>
    <xf numFmtId="4" fontId="17" fillId="2" borderId="31" xfId="2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7" fillId="0" borderId="26" xfId="2" applyFont="1" applyBorder="1" applyAlignment="1">
      <alignment horizontal="center" vertical="top"/>
    </xf>
    <xf numFmtId="0" fontId="17" fillId="0" borderId="27" xfId="2" applyFont="1" applyBorder="1" applyAlignment="1">
      <alignment horizontal="center" vertical="top"/>
    </xf>
    <xf numFmtId="0" fontId="17" fillId="0" borderId="27" xfId="2" applyFont="1" applyBorder="1" applyAlignment="1">
      <alignment horizontal="center" vertical="justify"/>
    </xf>
    <xf numFmtId="0" fontId="17" fillId="0" borderId="27" xfId="2" applyFont="1" applyBorder="1" applyAlignment="1">
      <alignment horizontal="center"/>
    </xf>
    <xf numFmtId="4" fontId="9" fillId="0" borderId="28" xfId="2" applyNumberFormat="1" applyFont="1" applyBorder="1" applyAlignment="1">
      <alignment horizontal="center"/>
    </xf>
    <xf numFmtId="4" fontId="9" fillId="0" borderId="26" xfId="2" applyNumberFormat="1" applyFont="1" applyBorder="1" applyAlignment="1">
      <alignment horizontal="center"/>
    </xf>
    <xf numFmtId="4" fontId="9" fillId="0" borderId="27" xfId="2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17" borderId="24" xfId="2" applyFont="1" applyFill="1" applyBorder="1" applyAlignment="1">
      <alignment horizontal="center" vertical="top"/>
    </xf>
    <xf numFmtId="0" fontId="17" fillId="17" borderId="1" xfId="2" applyFont="1" applyFill="1" applyBorder="1" applyAlignment="1">
      <alignment horizontal="center" vertical="top"/>
    </xf>
    <xf numFmtId="0" fontId="17" fillId="17" borderId="1" xfId="2" applyFont="1" applyFill="1" applyBorder="1" applyAlignment="1">
      <alignment horizontal="left" vertical="justify"/>
    </xf>
    <xf numFmtId="0" fontId="17" fillId="17" borderId="1" xfId="2" applyFont="1" applyFill="1" applyBorder="1" applyAlignment="1">
      <alignment horizontal="center"/>
    </xf>
    <xf numFmtId="4" fontId="9" fillId="17" borderId="25" xfId="2" applyNumberFormat="1" applyFont="1" applyFill="1" applyBorder="1" applyAlignment="1">
      <alignment horizontal="center"/>
    </xf>
    <xf numFmtId="4" fontId="9" fillId="17" borderId="24" xfId="2" applyNumberFormat="1" applyFont="1" applyFill="1" applyBorder="1" applyAlignment="1">
      <alignment horizontal="center"/>
    </xf>
    <xf numFmtId="4" fontId="9" fillId="17" borderId="1" xfId="2" applyNumberFormat="1" applyFont="1" applyFill="1" applyBorder="1" applyAlignment="1">
      <alignment horizontal="center"/>
    </xf>
    <xf numFmtId="4" fontId="17" fillId="17" borderId="25" xfId="2" applyNumberFormat="1" applyFont="1" applyFill="1" applyBorder="1" applyAlignment="1">
      <alignment horizontal="center"/>
    </xf>
    <xf numFmtId="0" fontId="17" fillId="17" borderId="0" xfId="0" quotePrefix="1" applyFont="1" applyFill="1"/>
    <xf numFmtId="10" fontId="17" fillId="17" borderId="0" xfId="1" applyNumberFormat="1" applyFont="1" applyFill="1" applyBorder="1" applyAlignment="1">
      <alignment horizontal="left"/>
    </xf>
    <xf numFmtId="0" fontId="9" fillId="17" borderId="0" xfId="0" applyFont="1" applyFill="1"/>
    <xf numFmtId="0" fontId="9" fillId="10" borderId="0" xfId="0" applyFont="1" applyFill="1"/>
    <xf numFmtId="0" fontId="9" fillId="2" borderId="0" xfId="0" applyFont="1" applyFill="1"/>
    <xf numFmtId="4" fontId="9" fillId="17" borderId="24" xfId="2" applyNumberFormat="1" applyFont="1" applyFill="1" applyBorder="1" applyAlignment="1">
      <alignment horizontal="left"/>
    </xf>
    <xf numFmtId="0" fontId="17" fillId="0" borderId="24" xfId="2" applyFont="1" applyBorder="1" applyAlignment="1">
      <alignment horizontal="center" vertical="top"/>
    </xf>
    <xf numFmtId="0" fontId="17" fillId="0" borderId="1" xfId="2" applyFont="1" applyBorder="1" applyAlignment="1">
      <alignment horizontal="center" vertical="top"/>
    </xf>
    <xf numFmtId="0" fontId="17" fillId="0" borderId="1" xfId="2" applyFont="1" applyBorder="1" applyAlignment="1">
      <alignment horizontal="left" vertical="justify"/>
    </xf>
    <xf numFmtId="0" fontId="17" fillId="0" borderId="1" xfId="2" applyFont="1" applyBorder="1" applyAlignment="1">
      <alignment horizontal="center"/>
    </xf>
    <xf numFmtId="4" fontId="9" fillId="0" borderId="25" xfId="2" applyNumberFormat="1" applyFont="1" applyBorder="1" applyAlignment="1">
      <alignment horizontal="center"/>
    </xf>
    <xf numFmtId="4" fontId="9" fillId="0" borderId="24" xfId="2" applyNumberFormat="1" applyFont="1" applyBorder="1" applyAlignment="1">
      <alignment horizontal="center"/>
    </xf>
    <xf numFmtId="4" fontId="9" fillId="0" borderId="1" xfId="2" applyNumberFormat="1" applyFont="1" applyBorder="1" applyAlignment="1">
      <alignment horizontal="center"/>
    </xf>
    <xf numFmtId="4" fontId="17" fillId="18" borderId="29" xfId="2" applyNumberFormat="1" applyFont="1" applyFill="1" applyBorder="1" applyAlignment="1">
      <alignment horizontal="left"/>
    </xf>
    <xf numFmtId="4" fontId="17" fillId="18" borderId="30" xfId="2" applyNumberFormat="1" applyFont="1" applyFill="1" applyBorder="1" applyAlignment="1">
      <alignment horizontal="center"/>
    </xf>
    <xf numFmtId="4" fontId="23" fillId="18" borderId="31" xfId="2" applyNumberFormat="1" applyFont="1" applyFill="1" applyBorder="1" applyAlignment="1">
      <alignment horizontal="center" vertical="center"/>
    </xf>
    <xf numFmtId="0" fontId="17" fillId="18" borderId="0" xfId="0" quotePrefix="1" applyFont="1" applyFill="1"/>
    <xf numFmtId="10" fontId="17" fillId="18" borderId="0" xfId="1" applyNumberFormat="1" applyFont="1" applyFill="1" applyBorder="1" applyAlignment="1">
      <alignment horizontal="left"/>
    </xf>
    <xf numFmtId="0" fontId="17" fillId="18" borderId="0" xfId="0" applyFont="1" applyFill="1"/>
    <xf numFmtId="0" fontId="16" fillId="0" borderId="0" xfId="0" applyFont="1"/>
    <xf numFmtId="4" fontId="16" fillId="2" borderId="24" xfId="2" applyNumberFormat="1" applyFont="1" applyFill="1" applyBorder="1" applyAlignment="1">
      <alignment horizontal="center"/>
    </xf>
    <xf numFmtId="43" fontId="16" fillId="0" borderId="0" xfId="12" applyFont="1" applyFill="1" applyBorder="1"/>
    <xf numFmtId="0" fontId="16" fillId="2" borderId="0" xfId="0" applyFont="1" applyFill="1"/>
    <xf numFmtId="4" fontId="16" fillId="0" borderId="0" xfId="0" applyNumberFormat="1" applyFont="1"/>
    <xf numFmtId="4" fontId="24" fillId="8" borderId="1" xfId="2" applyNumberFormat="1" applyFont="1" applyFill="1" applyBorder="1" applyAlignment="1">
      <alignment horizontal="center" vertical="center"/>
    </xf>
    <xf numFmtId="165" fontId="10" fillId="4" borderId="7" xfId="9" applyFont="1" applyFill="1" applyBorder="1" applyAlignment="1">
      <alignment horizontal="center" vertical="distributed" wrapText="1"/>
    </xf>
    <xf numFmtId="165" fontId="10" fillId="3" borderId="7" xfId="9" applyFont="1" applyFill="1" applyBorder="1" applyAlignment="1">
      <alignment horizontal="center" vertical="distributed" wrapText="1"/>
    </xf>
    <xf numFmtId="0" fontId="17" fillId="0" borderId="0" xfId="2" applyFont="1" applyAlignment="1">
      <alignment horizontal="center"/>
    </xf>
    <xf numFmtId="4" fontId="17" fillId="0" borderId="0" xfId="2" applyNumberFormat="1" applyFont="1" applyAlignment="1">
      <alignment horizontal="center"/>
    </xf>
    <xf numFmtId="0" fontId="9" fillId="0" borderId="1" xfId="2" applyFont="1" applyBorder="1" applyAlignment="1">
      <alignment horizontal="center"/>
    </xf>
    <xf numFmtId="0" fontId="17" fillId="0" borderId="1" xfId="2" applyFont="1" applyBorder="1" applyAlignment="1">
      <alignment horizontal="right" vertical="justify"/>
    </xf>
    <xf numFmtId="0" fontId="17" fillId="0" borderId="0" xfId="0" applyFont="1"/>
    <xf numFmtId="0" fontId="17" fillId="8" borderId="0" xfId="0" applyFont="1" applyFill="1"/>
    <xf numFmtId="0" fontId="28" fillId="0" borderId="0" xfId="0" applyFont="1"/>
    <xf numFmtId="4" fontId="17" fillId="2" borderId="7" xfId="2" applyNumberFormat="1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17" fillId="0" borderId="51" xfId="2" applyFont="1" applyBorder="1" applyAlignment="1">
      <alignment horizontal="right" vertical="top"/>
    </xf>
    <xf numFmtId="0" fontId="17" fillId="0" borderId="0" xfId="2" applyFont="1" applyAlignment="1">
      <alignment horizontal="left" vertical="justify"/>
    </xf>
    <xf numFmtId="0" fontId="17" fillId="0" borderId="53" xfId="2" applyFont="1" applyBorder="1" applyAlignment="1">
      <alignment horizontal="center"/>
    </xf>
    <xf numFmtId="4" fontId="17" fillId="0" borderId="7" xfId="2" applyNumberFormat="1" applyFont="1" applyBorder="1" applyAlignment="1">
      <alignment horizontal="center"/>
    </xf>
    <xf numFmtId="4" fontId="17" fillId="0" borderId="53" xfId="2" applyNumberFormat="1" applyFont="1" applyBorder="1" applyAlignment="1">
      <alignment horizontal="center"/>
    </xf>
    <xf numFmtId="0" fontId="17" fillId="7" borderId="7" xfId="2" applyFont="1" applyFill="1" applyBorder="1" applyAlignment="1">
      <alignment horizontal="right" vertical="top"/>
    </xf>
    <xf numFmtId="0" fontId="17" fillId="7" borderId="9" xfId="2" applyFont="1" applyFill="1" applyBorder="1" applyAlignment="1">
      <alignment horizontal="left" vertical="justify"/>
    </xf>
    <xf numFmtId="4" fontId="17" fillId="7" borderId="7" xfId="2" applyNumberFormat="1" applyFont="1" applyFill="1" applyBorder="1" applyAlignment="1">
      <alignment horizontal="center"/>
    </xf>
    <xf numFmtId="4" fontId="17" fillId="7" borderId="9" xfId="2" applyNumberFormat="1" applyFont="1" applyFill="1" applyBorder="1" applyAlignment="1">
      <alignment horizontal="center"/>
    </xf>
    <xf numFmtId="4" fontId="17" fillId="0" borderId="54" xfId="2" applyNumberFormat="1" applyFont="1" applyBorder="1" applyAlignment="1">
      <alignment horizontal="center"/>
    </xf>
    <xf numFmtId="43" fontId="17" fillId="3" borderId="1" xfId="2" applyNumberFormat="1" applyFont="1" applyFill="1" applyBorder="1" applyAlignment="1">
      <alignment horizontal="center"/>
    </xf>
    <xf numFmtId="10" fontId="30" fillId="7" borderId="7" xfId="1" applyNumberFormat="1" applyFont="1" applyFill="1" applyBorder="1" applyAlignment="1">
      <alignment horizontal="center"/>
    </xf>
    <xf numFmtId="10" fontId="31" fillId="7" borderId="9" xfId="1" applyNumberFormat="1" applyFont="1" applyFill="1" applyBorder="1" applyAlignment="1">
      <alignment horizontal="center"/>
    </xf>
    <xf numFmtId="0" fontId="32" fillId="0" borderId="51" xfId="2" applyFont="1" applyBorder="1" applyAlignment="1">
      <alignment horizontal="right" vertical="top"/>
    </xf>
    <xf numFmtId="0" fontId="32" fillId="0" borderId="0" xfId="2" applyFont="1" applyAlignment="1">
      <alignment horizontal="left" vertical="justify"/>
    </xf>
    <xf numFmtId="0" fontId="32" fillId="0" borderId="54" xfId="2" applyFont="1" applyBorder="1" applyAlignment="1">
      <alignment horizontal="center"/>
    </xf>
    <xf numFmtId="4" fontId="32" fillId="0" borderId="43" xfId="2" applyNumberFormat="1" applyFont="1" applyBorder="1" applyAlignment="1">
      <alignment horizontal="center"/>
    </xf>
    <xf numFmtId="4" fontId="32" fillId="0" borderId="54" xfId="2" applyNumberFormat="1" applyFont="1" applyBorder="1" applyAlignment="1">
      <alignment horizontal="center"/>
    </xf>
    <xf numFmtId="0" fontId="33" fillId="0" borderId="0" xfId="0" applyFont="1"/>
    <xf numFmtId="10" fontId="31" fillId="0" borderId="54" xfId="1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top" wrapText="1"/>
    </xf>
    <xf numFmtId="4" fontId="32" fillId="0" borderId="51" xfId="2" applyNumberFormat="1" applyFont="1" applyBorder="1" applyAlignment="1">
      <alignment horizontal="center"/>
    </xf>
    <xf numFmtId="4" fontId="17" fillId="0" borderId="51" xfId="2" applyNumberFormat="1" applyFont="1" applyBorder="1" applyAlignment="1">
      <alignment horizontal="center"/>
    </xf>
    <xf numFmtId="10" fontId="31" fillId="7" borderId="7" xfId="1" applyNumberFormat="1" applyFont="1" applyFill="1" applyBorder="1" applyAlignment="1">
      <alignment horizontal="center"/>
    </xf>
    <xf numFmtId="0" fontId="34" fillId="0" borderId="0" xfId="2" applyFont="1" applyAlignment="1">
      <alignment horizontal="left" vertical="justify"/>
    </xf>
    <xf numFmtId="0" fontId="34" fillId="0" borderId="54" xfId="2" applyFont="1" applyBorder="1" applyAlignment="1">
      <alignment horizontal="center"/>
    </xf>
    <xf numFmtId="0" fontId="32" fillId="0" borderId="55" xfId="2" applyFont="1" applyBorder="1" applyAlignment="1">
      <alignment horizontal="center"/>
    </xf>
    <xf numFmtId="10" fontId="30" fillId="7" borderId="9" xfId="1" applyNumberFormat="1" applyFont="1" applyFill="1" applyBorder="1" applyAlignment="1">
      <alignment horizontal="center"/>
    </xf>
    <xf numFmtId="0" fontId="17" fillId="0" borderId="51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0" fontId="31" fillId="0" borderId="0" xfId="1" applyNumberFormat="1" applyFont="1" applyFill="1" applyBorder="1" applyAlignment="1">
      <alignment horizontal="center"/>
    </xf>
    <xf numFmtId="4" fontId="17" fillId="0" borderId="44" xfId="2" applyNumberFormat="1" applyFont="1" applyBorder="1" applyAlignment="1">
      <alignment horizontal="center"/>
    </xf>
    <xf numFmtId="10" fontId="31" fillId="0" borderId="55" xfId="1" applyNumberFormat="1" applyFont="1" applyFill="1" applyBorder="1" applyAlignment="1">
      <alignment horizontal="center"/>
    </xf>
    <xf numFmtId="10" fontId="31" fillId="0" borderId="52" xfId="1" applyNumberFormat="1" applyFont="1" applyFill="1" applyBorder="1" applyAlignment="1">
      <alignment horizontal="center"/>
    </xf>
    <xf numFmtId="0" fontId="17" fillId="0" borderId="52" xfId="0" applyFont="1" applyBorder="1"/>
    <xf numFmtId="0" fontId="35" fillId="2" borderId="0" xfId="0" applyFont="1" applyFill="1"/>
    <xf numFmtId="4" fontId="17" fillId="4" borderId="1" xfId="2" applyNumberFormat="1" applyFont="1" applyFill="1" applyBorder="1" applyAlignment="1">
      <alignment horizontal="center"/>
    </xf>
    <xf numFmtId="165" fontId="17" fillId="4" borderId="1" xfId="2" applyNumberFormat="1" applyFont="1" applyFill="1" applyBorder="1" applyAlignment="1">
      <alignment horizontal="center"/>
    </xf>
    <xf numFmtId="4" fontId="28" fillId="0" borderId="0" xfId="0" applyNumberFormat="1" applyFont="1"/>
    <xf numFmtId="43" fontId="17" fillId="7" borderId="1" xfId="12" applyFont="1" applyFill="1" applyBorder="1" applyAlignment="1">
      <alignment horizontal="center"/>
    </xf>
    <xf numFmtId="43" fontId="38" fillId="0" borderId="0" xfId="0" applyNumberFormat="1" applyFont="1"/>
    <xf numFmtId="4" fontId="39" fillId="4" borderId="1" xfId="2" applyNumberFormat="1" applyFont="1" applyFill="1" applyBorder="1" applyAlignment="1">
      <alignment horizontal="center"/>
    </xf>
    <xf numFmtId="165" fontId="10" fillId="9" borderId="41" xfId="9" applyFont="1" applyFill="1" applyBorder="1" applyAlignment="1">
      <alignment vertical="distributed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6" fillId="0" borderId="0" xfId="0" applyFont="1"/>
    <xf numFmtId="0" fontId="44" fillId="0" borderId="0" xfId="0" applyFont="1" applyAlignment="1">
      <alignment horizontal="center" wrapText="1"/>
    </xf>
    <xf numFmtId="0" fontId="45" fillId="0" borderId="0" xfId="0" applyFont="1"/>
    <xf numFmtId="0" fontId="45" fillId="0" borderId="0" xfId="0" applyFont="1" applyAlignment="1">
      <alignment horizontal="center"/>
    </xf>
    <xf numFmtId="0" fontId="25" fillId="6" borderId="7" xfId="0" applyFont="1" applyFill="1" applyBorder="1"/>
    <xf numFmtId="0" fontId="25" fillId="6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left"/>
    </xf>
    <xf numFmtId="0" fontId="25" fillId="0" borderId="8" xfId="0" applyFont="1" applyBorder="1"/>
    <xf numFmtId="0" fontId="25" fillId="0" borderId="8" xfId="0" applyFont="1" applyBorder="1" applyAlignment="1">
      <alignment horizontal="center"/>
    </xf>
    <xf numFmtId="0" fontId="25" fillId="0" borderId="7" xfId="0" applyFont="1" applyBorder="1"/>
    <xf numFmtId="0" fontId="25" fillId="0" borderId="7" xfId="0" applyFont="1" applyBorder="1" applyAlignment="1">
      <alignment horizontal="center"/>
    </xf>
    <xf numFmtId="10" fontId="15" fillId="5" borderId="7" xfId="1" applyNumberFormat="1" applyFont="1" applyFill="1" applyBorder="1" applyAlignment="1">
      <alignment horizontal="center"/>
    </xf>
    <xf numFmtId="0" fontId="40" fillId="0" borderId="7" xfId="0" applyFont="1" applyBorder="1"/>
    <xf numFmtId="2" fontId="46" fillId="0" borderId="7" xfId="0" applyNumberFormat="1" applyFont="1" applyBorder="1" applyAlignment="1">
      <alignment horizontal="center"/>
    </xf>
    <xf numFmtId="10" fontId="46" fillId="0" borderId="7" xfId="1" applyNumberFormat="1" applyFont="1" applyBorder="1" applyAlignment="1">
      <alignment horizontal="center"/>
    </xf>
    <xf numFmtId="0" fontId="25" fillId="0" borderId="7" xfId="19" applyFont="1" applyBorder="1"/>
    <xf numFmtId="0" fontId="25" fillId="0" borderId="7" xfId="19" applyFont="1" applyBorder="1" applyAlignment="1">
      <alignment horizontal="center"/>
    </xf>
    <xf numFmtId="10" fontId="15" fillId="5" borderId="7" xfId="26" applyNumberFormat="1" applyFont="1" applyFill="1" applyBorder="1" applyAlignment="1">
      <alignment horizontal="center"/>
    </xf>
    <xf numFmtId="0" fontId="40" fillId="0" borderId="7" xfId="0" applyFont="1" applyBorder="1" applyAlignment="1">
      <alignment vertical="center"/>
    </xf>
    <xf numFmtId="10" fontId="15" fillId="0" borderId="7" xfId="1" applyNumberFormat="1" applyFont="1" applyBorder="1" applyAlignment="1">
      <alignment horizontal="center"/>
    </xf>
    <xf numFmtId="169" fontId="47" fillId="0" borderId="0" xfId="0" applyNumberFormat="1" applyFont="1" applyAlignment="1">
      <alignment horizontal="left"/>
    </xf>
    <xf numFmtId="10" fontId="15" fillId="0" borderId="8" xfId="1" applyNumberFormat="1" applyFont="1" applyFill="1" applyBorder="1" applyAlignment="1">
      <alignment horizontal="center"/>
    </xf>
    <xf numFmtId="0" fontId="25" fillId="6" borderId="9" xfId="0" applyFont="1" applyFill="1" applyBorder="1"/>
    <xf numFmtId="0" fontId="0" fillId="6" borderId="10" xfId="0" applyFill="1" applyBorder="1" applyAlignment="1">
      <alignment horizontal="center"/>
    </xf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6" fillId="0" borderId="14" xfId="0" applyFont="1" applyBorder="1"/>
    <xf numFmtId="0" fontId="26" fillId="0" borderId="0" xfId="0" applyFont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0" xfId="0" applyFont="1"/>
    <xf numFmtId="0" fontId="26" fillId="0" borderId="16" xfId="0" applyFont="1" applyBorder="1"/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5" fillId="0" borderId="0" xfId="0" applyFont="1"/>
    <xf numFmtId="0" fontId="51" fillId="0" borderId="0" xfId="0" applyFont="1" applyAlignment="1">
      <alignment horizontal="center"/>
    </xf>
    <xf numFmtId="0" fontId="26" fillId="0" borderId="0" xfId="6" applyFont="1"/>
    <xf numFmtId="0" fontId="53" fillId="0" borderId="7" xfId="0" applyFont="1" applyBorder="1" applyAlignment="1">
      <alignment wrapText="1"/>
    </xf>
    <xf numFmtId="0" fontId="17" fillId="0" borderId="1" xfId="2" quotePrefix="1" applyFont="1" applyBorder="1" applyAlignment="1">
      <alignment horizontal="center" vertical="top"/>
    </xf>
    <xf numFmtId="0" fontId="17" fillId="0" borderId="1" xfId="2" applyFont="1" applyBorder="1" applyAlignment="1">
      <alignment horizontal="justify" vertical="justify"/>
    </xf>
    <xf numFmtId="0" fontId="17" fillId="0" borderId="1" xfId="2" applyFont="1" applyBorder="1" applyAlignment="1">
      <alignment horizontal="justify" vertical="justify" wrapText="1"/>
    </xf>
    <xf numFmtId="0" fontId="17" fillId="0" borderId="1" xfId="2" applyFont="1" applyBorder="1" applyAlignment="1">
      <alignment horizontal="center" vertical="top" wrapText="1"/>
    </xf>
    <xf numFmtId="0" fontId="17" fillId="0" borderId="1" xfId="2" quotePrefix="1" applyFont="1" applyBorder="1" applyAlignment="1">
      <alignment horizontal="center" vertical="top" wrapText="1"/>
    </xf>
    <xf numFmtId="43" fontId="36" fillId="17" borderId="7" xfId="12" applyFont="1" applyFill="1" applyBorder="1" applyAlignment="1">
      <alignment horizontal="center"/>
    </xf>
    <xf numFmtId="168" fontId="37" fillId="17" borderId="7" xfId="1" applyNumberFormat="1" applyFont="1" applyFill="1" applyBorder="1" applyAlignment="1">
      <alignment horizontal="center"/>
    </xf>
    <xf numFmtId="0" fontId="17" fillId="0" borderId="5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0" fontId="31" fillId="0" borderId="0" xfId="1" applyNumberFormat="1" applyFont="1" applyFill="1" applyBorder="1" applyAlignment="1">
      <alignment horizontal="right"/>
    </xf>
    <xf numFmtId="0" fontId="17" fillId="0" borderId="0" xfId="2" applyFont="1" applyAlignment="1">
      <alignment horizontal="right" vertical="top"/>
    </xf>
    <xf numFmtId="0" fontId="10" fillId="0" borderId="0" xfId="2" applyFont="1" applyAlignment="1">
      <alignment horizontal="left"/>
    </xf>
    <xf numFmtId="0" fontId="10" fillId="0" borderId="0" xfId="2" applyFont="1" applyAlignment="1">
      <alignment wrapText="1"/>
    </xf>
    <xf numFmtId="0" fontId="10" fillId="0" borderId="0" xfId="0" applyFont="1" applyAlignment="1">
      <alignment horizontal="center"/>
    </xf>
    <xf numFmtId="49" fontId="10" fillId="0" borderId="0" xfId="2" applyNumberFormat="1" applyFont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0" borderId="0" xfId="2" applyFont="1" applyAlignment="1">
      <alignment horizontal="left" vertical="top"/>
    </xf>
    <xf numFmtId="0" fontId="11" fillId="11" borderId="7" xfId="40" applyFont="1" applyFill="1" applyBorder="1" applyAlignment="1">
      <alignment horizontal="center" vertical="center" wrapText="1"/>
    </xf>
    <xf numFmtId="165" fontId="10" fillId="9" borderId="27" xfId="9" applyFont="1" applyFill="1" applyBorder="1" applyAlignment="1">
      <alignment horizontal="right" vertical="distributed" wrapText="1"/>
    </xf>
    <xf numFmtId="165" fontId="10" fillId="9" borderId="1" xfId="9" applyFont="1" applyFill="1" applyBorder="1" applyAlignment="1">
      <alignment horizontal="right" vertical="distributed" wrapText="1"/>
    </xf>
    <xf numFmtId="2" fontId="10" fillId="9" borderId="33" xfId="9" applyNumberFormat="1" applyFont="1" applyFill="1" applyBorder="1" applyAlignment="1">
      <alignment horizontal="center" vertical="distributed" wrapText="1"/>
    </xf>
    <xf numFmtId="172" fontId="11" fillId="0" borderId="0" xfId="0" applyNumberFormat="1" applyFont="1"/>
    <xf numFmtId="171" fontId="10" fillId="2" borderId="1" xfId="9" applyNumberFormat="1" applyFont="1" applyFill="1" applyBorder="1" applyAlignment="1">
      <alignment horizontal="center" vertical="center" wrapText="1"/>
    </xf>
    <xf numFmtId="165" fontId="10" fillId="2" borderId="1" xfId="9" applyFont="1" applyFill="1" applyBorder="1" applyAlignment="1">
      <alignment horizontal="center" vertical="center" wrapText="1"/>
    </xf>
    <xf numFmtId="165" fontId="10" fillId="2" borderId="33" xfId="9" applyFont="1" applyFill="1" applyBorder="1" applyAlignment="1">
      <alignment horizontal="center" vertical="center" wrapText="1"/>
    </xf>
    <xf numFmtId="165" fontId="10" fillId="15" borderId="40" xfId="9" applyFont="1" applyFill="1" applyBorder="1" applyAlignment="1">
      <alignment horizontal="center" vertical="center" wrapText="1"/>
    </xf>
    <xf numFmtId="165" fontId="10" fillId="4" borderId="41" xfId="9" applyFont="1" applyFill="1" applyBorder="1" applyAlignment="1">
      <alignment horizontal="center" vertical="center" wrapText="1"/>
    </xf>
    <xf numFmtId="165" fontId="10" fillId="2" borderId="41" xfId="9" applyFont="1" applyFill="1" applyBorder="1" applyAlignment="1">
      <alignment horizontal="center" vertical="center" wrapText="1"/>
    </xf>
    <xf numFmtId="165" fontId="10" fillId="3" borderId="6" xfId="9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9" borderId="1" xfId="9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justify" vertical="center" wrapText="1"/>
    </xf>
    <xf numFmtId="0" fontId="11" fillId="0" borderId="33" xfId="0" applyFont="1" applyBorder="1" applyAlignment="1">
      <alignment horizontal="center" vertical="distributed"/>
    </xf>
    <xf numFmtId="173" fontId="11" fillId="16" borderId="40" xfId="41" applyNumberFormat="1" applyFont="1" applyFill="1" applyBorder="1" applyAlignment="1">
      <alignment horizontal="center" vertical="distributed" wrapText="1"/>
    </xf>
    <xf numFmtId="0" fontId="11" fillId="13" borderId="40" xfId="9" applyNumberFormat="1" applyFont="1" applyFill="1" applyBorder="1" applyAlignment="1" applyProtection="1">
      <alignment horizontal="center" vertical="center"/>
      <protection locked="0"/>
    </xf>
    <xf numFmtId="0" fontId="11" fillId="6" borderId="40" xfId="9" applyNumberFormat="1" applyFont="1" applyFill="1" applyBorder="1" applyAlignment="1">
      <alignment horizontal="center" vertical="distributed" wrapText="1"/>
    </xf>
    <xf numFmtId="0" fontId="11" fillId="14" borderId="20" xfId="9" applyNumberFormat="1" applyFont="1" applyFill="1" applyBorder="1" applyAlignment="1" applyProtection="1">
      <alignment horizontal="center" vertical="center"/>
      <protection locked="0"/>
    </xf>
    <xf numFmtId="2" fontId="11" fillId="6" borderId="40" xfId="9" applyNumberFormat="1" applyFont="1" applyFill="1" applyBorder="1" applyAlignment="1">
      <alignment horizontal="center" vertical="distributed" wrapText="1"/>
    </xf>
    <xf numFmtId="49" fontId="11" fillId="9" borderId="1" xfId="9" quotePrefix="1" applyNumberFormat="1" applyFont="1" applyFill="1" applyBorder="1" applyAlignment="1">
      <alignment horizontal="center" vertical="center" wrapText="1"/>
    </xf>
    <xf numFmtId="44" fontId="11" fillId="0" borderId="0" xfId="82" applyFont="1"/>
    <xf numFmtId="0" fontId="11" fillId="0" borderId="1" xfId="0" applyFont="1" applyBorder="1"/>
    <xf numFmtId="165" fontId="10" fillId="15" borderId="7" xfId="9" applyFont="1" applyFill="1" applyBorder="1" applyAlignment="1">
      <alignment horizontal="center" vertical="distributed" wrapText="1"/>
    </xf>
    <xf numFmtId="44" fontId="11" fillId="0" borderId="0" xfId="15" applyFont="1" applyBorder="1"/>
    <xf numFmtId="0" fontId="11" fillId="0" borderId="32" xfId="0" applyFont="1" applyBorder="1"/>
    <xf numFmtId="0" fontId="11" fillId="0" borderId="42" xfId="0" applyFont="1" applyBorder="1"/>
    <xf numFmtId="49" fontId="11" fillId="9" borderId="46" xfId="59" applyNumberFormat="1" applyFont="1" applyFill="1" applyBorder="1" applyAlignment="1">
      <alignment horizontal="center" vertical="center" wrapText="1"/>
    </xf>
    <xf numFmtId="49" fontId="11" fillId="9" borderId="1" xfId="59" quotePrefix="1" applyNumberFormat="1" applyFont="1" applyFill="1" applyBorder="1" applyAlignment="1">
      <alignment horizontal="center" vertical="center" wrapText="1"/>
    </xf>
    <xf numFmtId="174" fontId="11" fillId="16" borderId="40" xfId="41" applyNumberFormat="1" applyFont="1" applyFill="1" applyBorder="1" applyAlignment="1">
      <alignment horizontal="center" vertical="distributed" wrapText="1"/>
    </xf>
    <xf numFmtId="0" fontId="11" fillId="6" borderId="20" xfId="9" applyNumberFormat="1" applyFont="1" applyFill="1" applyBorder="1" applyAlignment="1">
      <alignment horizontal="center" vertical="distributed" wrapText="1"/>
    </xf>
    <xf numFmtId="2" fontId="11" fillId="14" borderId="40" xfId="9" applyNumberFormat="1" applyFont="1" applyFill="1" applyBorder="1" applyAlignment="1" applyProtection="1">
      <alignment horizontal="center" vertical="center"/>
      <protection locked="0"/>
    </xf>
    <xf numFmtId="0" fontId="11" fillId="14" borderId="40" xfId="9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165" fontId="10" fillId="2" borderId="6" xfId="9" applyFont="1" applyFill="1" applyBorder="1" applyAlignment="1">
      <alignment horizontal="center" vertical="center" wrapText="1"/>
    </xf>
    <xf numFmtId="165" fontId="10" fillId="3" borderId="41" xfId="9" applyFont="1" applyFill="1" applyBorder="1" applyAlignment="1">
      <alignment horizontal="center" vertical="center" wrapText="1"/>
    </xf>
    <xf numFmtId="0" fontId="11" fillId="0" borderId="19" xfId="0" applyFont="1" applyBorder="1"/>
    <xf numFmtId="0" fontId="11" fillId="0" borderId="45" xfId="0" applyFont="1" applyBorder="1"/>
    <xf numFmtId="171" fontId="10" fillId="2" borderId="46" xfId="9" applyNumberFormat="1" applyFont="1" applyFill="1" applyBorder="1" applyAlignment="1">
      <alignment horizontal="center" vertical="center" wrapText="1"/>
    </xf>
    <xf numFmtId="165" fontId="10" fillId="4" borderId="49" xfId="9" applyFont="1" applyFill="1" applyBorder="1" applyAlignment="1">
      <alignment horizontal="center" vertical="center" wrapText="1"/>
    </xf>
    <xf numFmtId="165" fontId="10" fillId="2" borderId="7" xfId="9" applyFont="1" applyFill="1" applyBorder="1" applyAlignment="1">
      <alignment horizontal="center" vertical="center" wrapText="1"/>
    </xf>
    <xf numFmtId="165" fontId="10" fillId="3" borderId="49" xfId="9" applyFont="1" applyFill="1" applyBorder="1" applyAlignment="1">
      <alignment horizontal="center" vertical="center" wrapText="1"/>
    </xf>
    <xf numFmtId="165" fontId="10" fillId="2" borderId="49" xfId="9" applyFont="1" applyFill="1" applyBorder="1" applyAlignment="1">
      <alignment horizontal="center" vertical="center" wrapText="1"/>
    </xf>
    <xf numFmtId="49" fontId="11" fillId="9" borderId="46" xfId="9" applyNumberFormat="1" applyFont="1" applyFill="1" applyBorder="1" applyAlignment="1">
      <alignment horizontal="center" vertical="center" wrapText="1"/>
    </xf>
    <xf numFmtId="2" fontId="11" fillId="13" borderId="40" xfId="9" applyNumberFormat="1" applyFont="1" applyFill="1" applyBorder="1" applyAlignment="1" applyProtection="1">
      <alignment horizontal="center" vertical="center"/>
      <protection locked="0"/>
    </xf>
    <xf numFmtId="2" fontId="11" fillId="6" borderId="41" xfId="9" applyNumberFormat="1" applyFont="1" applyFill="1" applyBorder="1" applyAlignment="1">
      <alignment horizontal="center" vertical="distributed" wrapText="1"/>
    </xf>
    <xf numFmtId="0" fontId="11" fillId="0" borderId="37" xfId="0" applyFont="1" applyBorder="1"/>
    <xf numFmtId="0" fontId="11" fillId="0" borderId="38" xfId="0" applyFont="1" applyBorder="1"/>
    <xf numFmtId="0" fontId="11" fillId="0" borderId="50" xfId="0" applyFont="1" applyBorder="1"/>
    <xf numFmtId="165" fontId="10" fillId="13" borderId="7" xfId="9" applyFont="1" applyFill="1" applyBorder="1" applyAlignment="1">
      <alignment horizontal="center" vertical="distributed" wrapText="1"/>
    </xf>
    <xf numFmtId="165" fontId="10" fillId="14" borderId="7" xfId="9" applyFont="1" applyFill="1" applyBorder="1" applyAlignment="1">
      <alignment horizontal="center" vertical="distributed" wrapText="1"/>
    </xf>
    <xf numFmtId="165" fontId="53" fillId="0" borderId="0" xfId="0" applyNumberFormat="1" applyFont="1"/>
    <xf numFmtId="0" fontId="53" fillId="0" borderId="0" xfId="0" applyFont="1"/>
    <xf numFmtId="0" fontId="51" fillId="0" borderId="0" xfId="0" applyFont="1"/>
    <xf numFmtId="0" fontId="18" fillId="0" borderId="2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4" fontId="18" fillId="0" borderId="3" xfId="2" applyNumberFormat="1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4" fontId="17" fillId="2" borderId="21" xfId="2" applyNumberFormat="1" applyFont="1" applyFill="1" applyBorder="1" applyAlignment="1">
      <alignment horizontal="center" vertical="center" wrapText="1"/>
    </xf>
    <xf numFmtId="4" fontId="17" fillId="2" borderId="22" xfId="2" applyNumberFormat="1" applyFont="1" applyFill="1" applyBorder="1" applyAlignment="1">
      <alignment horizontal="center" vertical="center" wrapText="1"/>
    </xf>
    <xf numFmtId="4" fontId="17" fillId="2" borderId="23" xfId="2" applyNumberFormat="1" applyFont="1" applyFill="1" applyBorder="1" applyAlignment="1">
      <alignment horizontal="center" vertical="center" wrapText="1"/>
    </xf>
    <xf numFmtId="0" fontId="18" fillId="18" borderId="21" xfId="2" applyFont="1" applyFill="1" applyBorder="1" applyAlignment="1">
      <alignment horizontal="center" vertical="center" wrapText="1"/>
    </xf>
    <xf numFmtId="0" fontId="18" fillId="18" borderId="22" xfId="2" applyFont="1" applyFill="1" applyBorder="1" applyAlignment="1">
      <alignment horizontal="center" vertical="center" wrapText="1"/>
    </xf>
    <xf numFmtId="0" fontId="18" fillId="18" borderId="23" xfId="2" applyFont="1" applyFill="1" applyBorder="1" applyAlignment="1">
      <alignment horizontal="center" vertical="center" wrapText="1"/>
    </xf>
    <xf numFmtId="0" fontId="19" fillId="0" borderId="7" xfId="2" applyFont="1" applyBorder="1" applyAlignment="1">
      <alignment horizontal="right" vertical="center"/>
    </xf>
    <xf numFmtId="4" fontId="19" fillId="0" borderId="7" xfId="2" applyNumberFormat="1" applyFont="1" applyBorder="1" applyAlignment="1">
      <alignment horizontal="center" vertical="center"/>
    </xf>
    <xf numFmtId="0" fontId="27" fillId="0" borderId="0" xfId="2" applyFont="1" applyAlignment="1">
      <alignment horizontal="center"/>
    </xf>
    <xf numFmtId="0" fontId="17" fillId="2" borderId="7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 wrapText="1"/>
    </xf>
    <xf numFmtId="4" fontId="17" fillId="2" borderId="7" xfId="2" applyNumberFormat="1" applyFont="1" applyFill="1" applyBorder="1" applyAlignment="1">
      <alignment horizontal="center"/>
    </xf>
    <xf numFmtId="0" fontId="17" fillId="7" borderId="7" xfId="2" applyFont="1" applyFill="1" applyBorder="1" applyAlignment="1">
      <alignment horizontal="center" vertical="center"/>
    </xf>
    <xf numFmtId="0" fontId="35" fillId="2" borderId="7" xfId="2" applyFont="1" applyFill="1" applyBorder="1" applyAlignment="1">
      <alignment horizontal="right" vertical="center"/>
    </xf>
    <xf numFmtId="0" fontId="19" fillId="0" borderId="0" xfId="2" applyFont="1" applyAlignment="1">
      <alignment horizontal="left" wrapText="1"/>
    </xf>
    <xf numFmtId="165" fontId="10" fillId="4" borderId="7" xfId="9" applyFont="1" applyFill="1" applyBorder="1" applyAlignment="1">
      <alignment horizontal="center" vertical="distributed" wrapText="1"/>
    </xf>
    <xf numFmtId="165" fontId="10" fillId="3" borderId="7" xfId="9" applyFont="1" applyFill="1" applyBorder="1" applyAlignment="1">
      <alignment horizontal="center" vertical="distributed" wrapText="1"/>
    </xf>
    <xf numFmtId="172" fontId="10" fillId="13" borderId="7" xfId="9" applyNumberFormat="1" applyFont="1" applyFill="1" applyBorder="1" applyAlignment="1">
      <alignment horizontal="center" vertical="center" wrapText="1"/>
    </xf>
    <xf numFmtId="172" fontId="10" fillId="14" borderId="7" xfId="9" applyNumberFormat="1" applyFont="1" applyFill="1" applyBorder="1" applyAlignment="1">
      <alignment horizontal="center" vertical="center" wrapText="1"/>
    </xf>
    <xf numFmtId="0" fontId="10" fillId="12" borderId="34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 wrapText="1"/>
    </xf>
    <xf numFmtId="0" fontId="10" fillId="12" borderId="39" xfId="0" applyFont="1" applyFill="1" applyBorder="1" applyAlignment="1">
      <alignment horizontal="center" vertical="center" wrapText="1"/>
    </xf>
    <xf numFmtId="171" fontId="10" fillId="9" borderId="27" xfId="9" applyNumberFormat="1" applyFont="1" applyFill="1" applyBorder="1" applyAlignment="1">
      <alignment horizontal="center" vertical="distributed" wrapText="1"/>
    </xf>
    <xf numFmtId="171" fontId="10" fillId="9" borderId="1" xfId="9" applyNumberFormat="1" applyFont="1" applyFill="1" applyBorder="1" applyAlignment="1">
      <alignment horizontal="center" vertical="distributed" wrapText="1"/>
    </xf>
    <xf numFmtId="0" fontId="10" fillId="0" borderId="27" xfId="9" applyNumberFormat="1" applyFont="1" applyBorder="1" applyAlignment="1">
      <alignment horizontal="center" vertical="distributed" wrapText="1"/>
    </xf>
    <xf numFmtId="165" fontId="10" fillId="9" borderId="1" xfId="9" applyFont="1" applyFill="1" applyBorder="1" applyAlignment="1">
      <alignment horizontal="right" vertical="center" wrapText="1"/>
    </xf>
    <xf numFmtId="0" fontId="10" fillId="2" borderId="1" xfId="9" applyNumberFormat="1" applyFont="1" applyFill="1" applyBorder="1" applyAlignment="1">
      <alignment horizontal="left" vertical="distributed" wrapText="1"/>
    </xf>
    <xf numFmtId="0" fontId="10" fillId="2" borderId="32" xfId="9" applyNumberFormat="1" applyFont="1" applyFill="1" applyBorder="1" applyAlignment="1">
      <alignment horizontal="left" vertical="distributed" wrapText="1"/>
    </xf>
    <xf numFmtId="165" fontId="10" fillId="9" borderId="43" xfId="9" applyFont="1" applyFill="1" applyBorder="1" applyAlignment="1">
      <alignment horizontal="center" vertical="distributed" wrapText="1"/>
    </xf>
    <xf numFmtId="165" fontId="10" fillId="9" borderId="44" xfId="9" applyFont="1" applyFill="1" applyBorder="1" applyAlignment="1">
      <alignment horizontal="center" vertical="distributed" wrapText="1"/>
    </xf>
    <xf numFmtId="0" fontId="15" fillId="6" borderId="9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171" fontId="10" fillId="0" borderId="47" xfId="9" applyNumberFormat="1" applyFont="1" applyFill="1" applyBorder="1" applyAlignment="1">
      <alignment horizontal="center" vertical="distributed" wrapText="1"/>
    </xf>
    <xf numFmtId="171" fontId="10" fillId="0" borderId="27" xfId="9" applyNumberFormat="1" applyFont="1" applyFill="1" applyBorder="1" applyAlignment="1">
      <alignment horizontal="center" vertical="distributed" wrapText="1"/>
    </xf>
    <xf numFmtId="171" fontId="10" fillId="0" borderId="46" xfId="9" applyNumberFormat="1" applyFont="1" applyFill="1" applyBorder="1" applyAlignment="1">
      <alignment horizontal="center" vertical="distributed" wrapText="1"/>
    </xf>
    <xf numFmtId="171" fontId="10" fillId="0" borderId="1" xfId="9" applyNumberFormat="1" applyFont="1" applyFill="1" applyBorder="1" applyAlignment="1">
      <alignment horizontal="center" vertical="distributed" wrapText="1"/>
    </xf>
    <xf numFmtId="0" fontId="10" fillId="0" borderId="48" xfId="9" applyNumberFormat="1" applyFont="1" applyBorder="1" applyAlignment="1">
      <alignment horizontal="center" vertical="distributed" wrapText="1"/>
    </xf>
    <xf numFmtId="165" fontId="10" fillId="9" borderId="40" xfId="9" applyFont="1" applyFill="1" applyBorder="1" applyAlignment="1">
      <alignment horizontal="center" vertical="center" wrapText="1"/>
    </xf>
    <xf numFmtId="0" fontId="51" fillId="0" borderId="0" xfId="6" applyFont="1" applyAlignment="1">
      <alignment horizontal="justify" wrapText="1"/>
    </xf>
    <xf numFmtId="0" fontId="26" fillId="0" borderId="0" xfId="19" applyFont="1" applyAlignment="1">
      <alignment horizontal="justify" wrapText="1"/>
    </xf>
    <xf numFmtId="0" fontId="54" fillId="0" borderId="9" xfId="0" applyFont="1" applyBorder="1" applyAlignment="1">
      <alignment horizontal="left" vertical="justify" wrapText="1"/>
    </xf>
    <xf numFmtId="0" fontId="54" fillId="0" borderId="8" xfId="0" applyFont="1" applyBorder="1" applyAlignment="1">
      <alignment horizontal="left" vertical="justify" wrapText="1"/>
    </xf>
    <xf numFmtId="0" fontId="54" fillId="0" borderId="10" xfId="0" applyFont="1" applyBorder="1" applyAlignment="1">
      <alignment horizontal="left" vertical="justify" wrapText="1"/>
    </xf>
    <xf numFmtId="0" fontId="4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</cellXfs>
  <cellStyles count="83">
    <cellStyle name="Moeda" xfId="82" builtinId="4"/>
    <cellStyle name="Moeda 2" xfId="10" xr:uid="{00000000-0005-0000-0000-000001000000}"/>
    <cellStyle name="Moeda 3" xfId="15" xr:uid="{00000000-0005-0000-0000-000002000000}"/>
    <cellStyle name="Moeda 3 2" xfId="45" xr:uid="{EED6F780-9E54-4F2F-BDFE-858F292F8FDC}"/>
    <cellStyle name="Moeda 4" xfId="72" xr:uid="{308A825F-D538-40D0-89DD-1787A6B292B8}"/>
    <cellStyle name="Normal" xfId="0" builtinId="0"/>
    <cellStyle name="Normal 10" xfId="63" xr:uid="{68841A04-6E19-4600-B5F1-70E48D02EA93}"/>
    <cellStyle name="Normal 10 2" xfId="81" xr:uid="{9F964DA3-2AD4-4AD6-95DA-9C281DAE8197}"/>
    <cellStyle name="Normal 19" xfId="58" xr:uid="{DE612FF0-C77A-4370-9241-4DDACB7FCD44}"/>
    <cellStyle name="Normal 2" xfId="3" xr:uid="{00000000-0005-0000-0000-000004000000}"/>
    <cellStyle name="Normal 2 2" xfId="5" xr:uid="{00000000-0005-0000-0000-000005000000}"/>
    <cellStyle name="Normal 2 2 2" xfId="57" xr:uid="{C7EBEF00-CF54-4E90-9C20-CE0BBA4A3F18}"/>
    <cellStyle name="Normal 2 2 3" xfId="70" xr:uid="{AA6EE323-46E7-4326-8A9C-569D1BA6C2FE}"/>
    <cellStyle name="Normal 2 3" xfId="16" xr:uid="{00000000-0005-0000-0000-000006000000}"/>
    <cellStyle name="Normal 2 3 2" xfId="17" xr:uid="{00000000-0005-0000-0000-000007000000}"/>
    <cellStyle name="Normal 2 4" xfId="18" xr:uid="{00000000-0005-0000-0000-000008000000}"/>
    <cellStyle name="Normal 2 5" xfId="38" xr:uid="{00000000-0005-0000-0000-000009000000}"/>
    <cellStyle name="Normal 2 6" xfId="68" xr:uid="{F08EA3B4-B9A1-496C-BAB9-2312383868C1}"/>
    <cellStyle name="Normal 3" xfId="6" xr:uid="{00000000-0005-0000-0000-00000A000000}"/>
    <cellStyle name="Normal 3 2" xfId="19" xr:uid="{00000000-0005-0000-0000-00000B000000}"/>
    <cellStyle name="Normal 3 2 2" xfId="20" xr:uid="{00000000-0005-0000-0000-00000C000000}"/>
    <cellStyle name="Normal 3 2 3" xfId="36" xr:uid="{00000000-0005-0000-0000-00000D000000}"/>
    <cellStyle name="Normal 3 3" xfId="21" xr:uid="{00000000-0005-0000-0000-00000E000000}"/>
    <cellStyle name="Normal 4" xfId="11" xr:uid="{00000000-0005-0000-0000-00000F000000}"/>
    <cellStyle name="Normal 4 2" xfId="13" xr:uid="{00000000-0005-0000-0000-000010000000}"/>
    <cellStyle name="Normal 4 2 2" xfId="51" xr:uid="{01633513-2C32-4E51-909A-583D9D54FBED}"/>
    <cellStyle name="Normal 5" xfId="14" xr:uid="{00000000-0005-0000-0000-000011000000}"/>
    <cellStyle name="Normal 5 3" xfId="52" xr:uid="{9614A879-9E33-4041-820C-2FC000AEA9A9}"/>
    <cellStyle name="Normal 6" xfId="22" xr:uid="{00000000-0005-0000-0000-000012000000}"/>
    <cellStyle name="Normal 7" xfId="23" xr:uid="{00000000-0005-0000-0000-000013000000}"/>
    <cellStyle name="Normal 7 2" xfId="60" xr:uid="{C35FF795-C6AC-4ECC-A8DA-DB81FCAA035A}"/>
    <cellStyle name="Normal 8" xfId="56" xr:uid="{445DE8F1-FF5E-4BB4-9CDE-379E69B5C615}"/>
    <cellStyle name="Normal 8 2" xfId="80" xr:uid="{B1F98701-FB86-40BF-BEB2-FDDB71D9C2C3}"/>
    <cellStyle name="Normal 9" xfId="62" xr:uid="{D57DECCA-D3D9-4183-9A05-2DC6E6690DA5}"/>
    <cellStyle name="Normal_cronograma 6 meses 2" xfId="2" xr:uid="{00000000-0005-0000-0000-000014000000}"/>
    <cellStyle name="Normal_Pesquisa no referencial 10 de maio de 2013" xfId="40" xr:uid="{3C7B7850-80CD-4A18-8FEA-91D854FEA48B}"/>
    <cellStyle name="Porcentagem" xfId="1" builtinId="5"/>
    <cellStyle name="Porcentagem 2" xfId="7" xr:uid="{00000000-0005-0000-0000-000016000000}"/>
    <cellStyle name="Porcentagem 2 2" xfId="24" xr:uid="{00000000-0005-0000-0000-000017000000}"/>
    <cellStyle name="Porcentagem 2 2 2" xfId="25" xr:uid="{00000000-0005-0000-0000-000018000000}"/>
    <cellStyle name="Porcentagem 3" xfId="26" xr:uid="{00000000-0005-0000-0000-000019000000}"/>
    <cellStyle name="Porcentagem 4" xfId="53" xr:uid="{DD551FBE-25FE-4F2B-A525-3DB712C4DA07}"/>
    <cellStyle name="Porcentagem 5" xfId="67" xr:uid="{71DD4BC3-6A64-46CF-9255-B1B6777DB907}"/>
    <cellStyle name="Porcentagem 6" xfId="61" xr:uid="{7E322EE9-5C01-4EB6-B626-8604B2877290}"/>
    <cellStyle name="Separador de milhares 2" xfId="8" xr:uid="{00000000-0005-0000-0000-00001A000000}"/>
    <cellStyle name="Separador de milhares 2 2" xfId="27" xr:uid="{00000000-0005-0000-0000-00001B000000}"/>
    <cellStyle name="Separador de milhares 2 2 2" xfId="28" xr:uid="{00000000-0005-0000-0000-00001C000000}"/>
    <cellStyle name="Separador de milhares 2 2 2 2" xfId="46" xr:uid="{F5A24B16-D8AE-4B39-AD01-7B0607BF66B5}"/>
    <cellStyle name="Separador de milhares 2 2 2 2 2" xfId="73" xr:uid="{A9C630EB-6D7E-4D7A-A631-99F0E34D33BC}"/>
    <cellStyle name="Separador de milhares 3" xfId="4" xr:uid="{00000000-0005-0000-0000-00001D000000}"/>
    <cellStyle name="Separador de milhares 3 2" xfId="35" xr:uid="{00000000-0005-0000-0000-00001E000000}"/>
    <cellStyle name="Separador de milhares 3 3" xfId="42" xr:uid="{F9698006-172E-4AA3-B0A8-3EA52AC203E8}"/>
    <cellStyle name="Separador de milhares 3 3 2" xfId="69" xr:uid="{3894E608-B0B2-4E6B-8A7D-324961924474}"/>
    <cellStyle name="Separador de milhares 4" xfId="29" xr:uid="{00000000-0005-0000-0000-00001F000000}"/>
    <cellStyle name="Separador de milhares 4 2" xfId="30" xr:uid="{00000000-0005-0000-0000-000020000000}"/>
    <cellStyle name="Separador de milhares 4 2 2" xfId="48" xr:uid="{9DFE85F6-79F5-40AC-9E5F-E06BE2C140A6}"/>
    <cellStyle name="Separador de milhares 4 2 2 2" xfId="75" xr:uid="{263D1D94-327B-47B9-B532-CD7F732CBFEB}"/>
    <cellStyle name="Separador de milhares 4 3" xfId="31" xr:uid="{00000000-0005-0000-0000-000021000000}"/>
    <cellStyle name="Separador de milhares 4 4" xfId="37" xr:uid="{00000000-0005-0000-0000-000022000000}"/>
    <cellStyle name="Separador de milhares 4 5" xfId="47" xr:uid="{0866ABD1-9EC8-4ACF-BC5E-6D1182E408E2}"/>
    <cellStyle name="Separador de milhares 4 5 2" xfId="74" xr:uid="{D9F2B8EF-DA7F-4F99-9C22-5A387755416E}"/>
    <cellStyle name="Separador de milhares 5" xfId="32" xr:uid="{00000000-0005-0000-0000-000023000000}"/>
    <cellStyle name="Separador de milhares 5 2" xfId="49" xr:uid="{3D6E587F-D29E-4539-9094-E4C145D41E4C}"/>
    <cellStyle name="Separador de milhares 5 2 2" xfId="76" xr:uid="{C8247E73-9D14-4427-906C-DD8A6F37DA82}"/>
    <cellStyle name="Vírgula" xfId="12" builtinId="3"/>
    <cellStyle name="Vírgula 2" xfId="9" xr:uid="{00000000-0005-0000-0000-000025000000}"/>
    <cellStyle name="Vírgula 2 2" xfId="33" xr:uid="{00000000-0005-0000-0000-000026000000}"/>
    <cellStyle name="Vírgula 2 2 2" xfId="41" xr:uid="{8BCF6FCD-88E4-4A55-90F8-FE38DBBF9A7B}"/>
    <cellStyle name="Vírgula 2 2 3" xfId="39" xr:uid="{00000000-0005-0000-0000-000027000000}"/>
    <cellStyle name="Vírgula 2 3" xfId="59" xr:uid="{C71585FD-C291-464A-8CF0-0416EFF06C77}"/>
    <cellStyle name="Vírgula 2 3 2" xfId="66" xr:uid="{B986A298-88DA-4F9A-A31B-EB1920D39A3D}"/>
    <cellStyle name="Vírgula 2 4" xfId="54" xr:uid="{B5BF8353-720E-4EFE-A35F-BF4C8D9552C3}"/>
    <cellStyle name="Vírgula 2 4 2" xfId="78" xr:uid="{EA72ECE4-75FF-48B6-BBB9-F95D11997EA1}"/>
    <cellStyle name="Vírgula 2 5" xfId="43" xr:uid="{76A9ACDC-CF4B-4178-94F8-F68AEC136D93}"/>
    <cellStyle name="Vírgula 2 5 2" xfId="65" xr:uid="{30549838-FCAD-48D8-B5A2-5F001166A489}"/>
    <cellStyle name="Vírgula 3" xfId="34" xr:uid="{00000000-0005-0000-0000-000028000000}"/>
    <cellStyle name="Vírgula 3 2" xfId="50" xr:uid="{CB86E8ED-1A42-4496-84E9-F81DEF2A4037}"/>
    <cellStyle name="Vírgula 3 2 2" xfId="77" xr:uid="{E1DCA4F0-1078-40C0-B8DF-071EBD6E65BD}"/>
    <cellStyle name="Vírgula 4" xfId="55" xr:uid="{2FA18064-4B86-4C88-9411-4251D79A588F}"/>
    <cellStyle name="Vírgula 4 2" xfId="79" xr:uid="{021E03CB-6E58-4AEB-B4B9-DFE9428B2F4D}"/>
    <cellStyle name="Vírgula 5" xfId="44" xr:uid="{FED1BA4D-5ADC-4BEB-BF5A-1C058410CF05}"/>
    <cellStyle name="Vírgula 5 2" xfId="64" xr:uid="{60510FB0-DAB8-4980-B4BE-5CC0B84DA83E}"/>
    <cellStyle name="Vírgula 6" xfId="71" xr:uid="{EB0B241A-9D01-43C6-A29D-2E2B0BDB71E4}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16</xdr:row>
      <xdr:rowOff>0</xdr:rowOff>
    </xdr:from>
    <xdr:to>
      <xdr:col>13</xdr:col>
      <xdr:colOff>619125</xdr:colOff>
      <xdr:row>17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40075" y="5981700"/>
          <a:ext cx="2276475" cy="28575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40</xdr:row>
      <xdr:rowOff>56030</xdr:rowOff>
    </xdr:from>
    <xdr:to>
      <xdr:col>13</xdr:col>
      <xdr:colOff>22411</xdr:colOff>
      <xdr:row>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54129455"/>
          <a:ext cx="1661832" cy="372595"/>
        </a:xfrm>
        <a:prstGeom prst="rect">
          <a:avLst/>
        </a:prstGeom>
        <a:noFill/>
      </xdr:spPr>
    </xdr:pic>
    <xdr:clientData/>
  </xdr:two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4" name="Imagem 3" descr="Tabela-GG-50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5" name="Imagem 4" descr="Tabela-GG-50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6" name="Imagem 5" descr="Tabela-GG-50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7" name="Imagem 6" descr="Tabela-GG-50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8" name="Imagem 7" descr="Tabela-GG-50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100853</xdr:colOff>
      <xdr:row>94</xdr:row>
      <xdr:rowOff>0</xdr:rowOff>
    </xdr:from>
    <xdr:ext cx="5010149" cy="3237160"/>
    <xdr:pic>
      <xdr:nvPicPr>
        <xdr:cNvPr id="9" name="Imagem 8" descr="Tabela-GG-50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9853" y="159191325"/>
          <a:ext cx="5010149" cy="32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38100</xdr:colOff>
      <xdr:row>21</xdr:row>
      <xdr:rowOff>0</xdr:rowOff>
    </xdr:from>
    <xdr:to>
      <xdr:col>13</xdr:col>
      <xdr:colOff>619125</xdr:colOff>
      <xdr:row>22</xdr:row>
      <xdr:rowOff>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40075" y="21983700"/>
          <a:ext cx="2276475" cy="4286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29</xdr:row>
      <xdr:rowOff>56030</xdr:rowOff>
    </xdr:from>
    <xdr:to>
      <xdr:col>13</xdr:col>
      <xdr:colOff>22411</xdr:colOff>
      <xdr:row>30</xdr:row>
      <xdr:rowOff>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36155780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35</xdr:row>
      <xdr:rowOff>56030</xdr:rowOff>
    </xdr:from>
    <xdr:to>
      <xdr:col>13</xdr:col>
      <xdr:colOff>22411</xdr:colOff>
      <xdr:row>36</xdr:row>
      <xdr:rowOff>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45042605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32</xdr:row>
      <xdr:rowOff>56030</xdr:rowOff>
    </xdr:from>
    <xdr:to>
      <xdr:col>13</xdr:col>
      <xdr:colOff>22411</xdr:colOff>
      <xdr:row>33</xdr:row>
      <xdr:rowOff>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39584780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31</xdr:row>
      <xdr:rowOff>56030</xdr:rowOff>
    </xdr:from>
    <xdr:to>
      <xdr:col>13</xdr:col>
      <xdr:colOff>22411</xdr:colOff>
      <xdr:row>32</xdr:row>
      <xdr:rowOff>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38184605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37</xdr:row>
      <xdr:rowOff>56030</xdr:rowOff>
    </xdr:from>
    <xdr:to>
      <xdr:col>13</xdr:col>
      <xdr:colOff>22411</xdr:colOff>
      <xdr:row>38</xdr:row>
      <xdr:rowOff>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48757355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33</xdr:row>
      <xdr:rowOff>56030</xdr:rowOff>
    </xdr:from>
    <xdr:to>
      <xdr:col>13</xdr:col>
      <xdr:colOff>22411</xdr:colOff>
      <xdr:row>34</xdr:row>
      <xdr:rowOff>0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40813505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36</xdr:row>
      <xdr:rowOff>56030</xdr:rowOff>
    </xdr:from>
    <xdr:to>
      <xdr:col>13</xdr:col>
      <xdr:colOff>22411</xdr:colOff>
      <xdr:row>37</xdr:row>
      <xdr:rowOff>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46899980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39</xdr:row>
      <xdr:rowOff>56030</xdr:rowOff>
    </xdr:from>
    <xdr:to>
      <xdr:col>13</xdr:col>
      <xdr:colOff>22411</xdr:colOff>
      <xdr:row>40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53386505"/>
          <a:ext cx="1661832" cy="22972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38</xdr:row>
      <xdr:rowOff>56030</xdr:rowOff>
    </xdr:from>
    <xdr:to>
      <xdr:col>13</xdr:col>
      <xdr:colOff>22411</xdr:colOff>
      <xdr:row>39</xdr:row>
      <xdr:rowOff>0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51129080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28</xdr:row>
      <xdr:rowOff>56030</xdr:rowOff>
    </xdr:from>
    <xdr:to>
      <xdr:col>13</xdr:col>
      <xdr:colOff>22411</xdr:colOff>
      <xdr:row>29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35412830"/>
          <a:ext cx="1661832" cy="22972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27</xdr:row>
      <xdr:rowOff>56030</xdr:rowOff>
    </xdr:from>
    <xdr:to>
      <xdr:col>13</xdr:col>
      <xdr:colOff>22411</xdr:colOff>
      <xdr:row>28</xdr:row>
      <xdr:rowOff>0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34012655"/>
          <a:ext cx="1661832" cy="37259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56029</xdr:colOff>
      <xdr:row>34</xdr:row>
      <xdr:rowOff>56030</xdr:rowOff>
    </xdr:from>
    <xdr:to>
      <xdr:col>13</xdr:col>
      <xdr:colOff>22411</xdr:colOff>
      <xdr:row>35</xdr:row>
      <xdr:rowOff>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58004" y="42670880"/>
          <a:ext cx="1661832" cy="3725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61</xdr:row>
      <xdr:rowOff>11301</xdr:rowOff>
    </xdr:from>
    <xdr:to>
      <xdr:col>1</xdr:col>
      <xdr:colOff>4000501</xdr:colOff>
      <xdr:row>64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3351" y="15213201"/>
          <a:ext cx="3943350" cy="76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1</xdr:col>
      <xdr:colOff>581025</xdr:colOff>
      <xdr:row>61</xdr:row>
      <xdr:rowOff>19050</xdr:rowOff>
    </xdr:from>
    <xdr:to>
      <xdr:col>1</xdr:col>
      <xdr:colOff>3190875</xdr:colOff>
      <xdr:row>64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15220950"/>
          <a:ext cx="2609850" cy="7048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457200</xdr:colOff>
      <xdr:row>61</xdr:row>
      <xdr:rowOff>0</xdr:rowOff>
    </xdr:from>
    <xdr:to>
      <xdr:col>1</xdr:col>
      <xdr:colOff>3415393</xdr:colOff>
      <xdr:row>64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33400" y="15201900"/>
          <a:ext cx="2958193" cy="771524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1876425</xdr:colOff>
      <xdr:row>62</xdr:row>
      <xdr:rowOff>95250</xdr:rowOff>
    </xdr:from>
    <xdr:to>
      <xdr:col>1</xdr:col>
      <xdr:colOff>2333625</xdr:colOff>
      <xdr:row>64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952625" y="15506700"/>
          <a:ext cx="457200" cy="3809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1571624</xdr:colOff>
      <xdr:row>62</xdr:row>
      <xdr:rowOff>57150</xdr:rowOff>
    </xdr:from>
    <xdr:to>
      <xdr:col>1</xdr:col>
      <xdr:colOff>2419349</xdr:colOff>
      <xdr:row>64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647824" y="15468600"/>
          <a:ext cx="847725" cy="504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32</xdr:row>
          <xdr:rowOff>152400</xdr:rowOff>
        </xdr:from>
        <xdr:to>
          <xdr:col>1</xdr:col>
          <xdr:colOff>4648200</xdr:colOff>
          <xdr:row>36</xdr:row>
          <xdr:rowOff>161925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&amp;B%20-%20Prefeituras\Bom%20Jardim\-%20Passagens%20Molhadas%20(CAIXA)%20-%20&#218;ltimo%20Ajuste\Or&#231;amento%20-%20Passagens%20Molhadas\Vers&#227;o%20passada\MEMORIAS%20DE%20CALCULO%20PMS%20BJ%20_rev10%20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rives%20compartilhados\BREJO%20DA%20MADRE%20DE%20DEUS\_PROJETOS\2022\_CAIXA%20-%20923519-2021%20-%20Constru&#231;&#227;o%20de%20pra&#231;a%20p&#250;blica%20(Mirante)\_Licita&#231;&#227;o\Or&#231;amento\PO-PLQ-CFF%20PRACA+PAVIMENTACAO%20923519-2021%20REV5.xlsm" TargetMode="External"/><Relationship Id="rId1" Type="http://schemas.openxmlformats.org/officeDocument/2006/relationships/externalLinkPath" Target="/Drives%20compartilhados/BREJO%20DA%20MADRE%20DE%20DEUS/_PROJETOS/2022/_CAIXA%20-%20923519-2021%20-%20Constru&#231;&#227;o%20de%20pra&#231;a%20p&#250;blica%20(Mirante)/_Licita&#231;&#227;o/Or&#231;amento/PO-PLQ-CFF%20PRACA+PAVIMENTACAO%20923519-2021%20RE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CAM_BAIXO)"/>
      <sheetName val="(CAM_CIMA)"/>
      <sheetName val="SONDAGEM CAMARÁ DE CIMA"/>
      <sheetName val="SONDAGEM CAMARÁ DE BAIXO"/>
      <sheetName val="MEMÓRIA GERAL (SINAPI)"/>
      <sheetName val="2.Memória Auxiliar - CAM.BAIXO2"/>
      <sheetName val="3. Memória Auxiliar - CAM.CIMA2"/>
      <sheetName val="MEMÓRIA GERAL (SICRO)"/>
      <sheetName val="3. Memória Auxiliar - CAM. CIMA"/>
      <sheetName val="MEMÓRIA GERAL"/>
      <sheetName val="COMPOSIÇÕES"/>
      <sheetName val="COT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99C0-0A45-46CD-B01A-F81ED50D8386}">
  <sheetPr>
    <tabColor rgb="FF00B050"/>
    <pageSetUpPr fitToPage="1"/>
  </sheetPr>
  <dimension ref="A1:AE104"/>
  <sheetViews>
    <sheetView view="pageBreakPreview" topLeftCell="A8" zoomScaleSheetLayoutView="100" workbookViewId="0">
      <pane ySplit="1035" activePane="bottomLeft"/>
      <selection activeCell="I8" sqref="G1:I1048576"/>
      <selection pane="bottomLeft" activeCell="F11" sqref="F11"/>
    </sheetView>
  </sheetViews>
  <sheetFormatPr defaultRowHeight="11.25" x14ac:dyDescent="0.2"/>
  <cols>
    <col min="1" max="1" width="6.140625" style="68" customWidth="1"/>
    <col min="2" max="2" width="12" style="68" customWidth="1"/>
    <col min="3" max="3" width="8.85546875" style="68" bestFit="1" customWidth="1"/>
    <col min="4" max="4" width="56.7109375" style="68" customWidth="1"/>
    <col min="5" max="5" width="4.5703125" style="68" bestFit="1" customWidth="1"/>
    <col min="6" max="6" width="10.7109375" style="68" customWidth="1"/>
    <col min="7" max="7" width="10.42578125" style="72" customWidth="1"/>
    <col min="8" max="8" width="10.7109375" style="68" customWidth="1"/>
    <col min="9" max="9" width="13.140625" style="72" customWidth="1"/>
    <col min="10" max="10" width="4.140625" style="68" customWidth="1"/>
    <col min="11" max="11" width="14.140625" style="68" customWidth="1"/>
    <col min="12" max="12" width="14" style="68" customWidth="1"/>
    <col min="13" max="13" width="11.42578125" style="68" customWidth="1"/>
    <col min="14" max="17" width="11.28515625" style="68" customWidth="1"/>
    <col min="18" max="30" width="9.140625" style="68"/>
    <col min="31" max="31" width="0" style="68" hidden="1" customWidth="1"/>
    <col min="32" max="16384" width="9.140625" style="68"/>
  </cols>
  <sheetData>
    <row r="1" spans="1:31" s="12" customFormat="1" ht="17.25" thickTop="1" thickBot="1" x14ac:dyDescent="0.3">
      <c r="A1" s="249" t="s">
        <v>14</v>
      </c>
      <c r="B1" s="250"/>
      <c r="C1" s="250"/>
      <c r="D1" s="250"/>
      <c r="E1" s="250"/>
      <c r="F1" s="250"/>
      <c r="G1" s="251"/>
      <c r="H1" s="250"/>
      <c r="I1" s="252"/>
    </row>
    <row r="2" spans="1:31" s="12" customFormat="1" ht="16.5" thickTop="1" x14ac:dyDescent="0.25">
      <c r="A2" s="13"/>
      <c r="B2" s="13"/>
      <c r="C2" s="13"/>
      <c r="D2" s="13"/>
      <c r="E2" s="13"/>
      <c r="F2" s="14"/>
      <c r="G2" s="15"/>
      <c r="H2" s="14"/>
      <c r="I2" s="15"/>
    </row>
    <row r="3" spans="1:31" s="20" customFormat="1" ht="12.75" x14ac:dyDescent="0.2">
      <c r="A3" s="16"/>
      <c r="B3" s="17" t="s">
        <v>415</v>
      </c>
      <c r="C3" s="18"/>
      <c r="D3" s="18"/>
      <c r="E3" s="18"/>
      <c r="F3" s="18"/>
      <c r="G3" s="19"/>
      <c r="H3" s="18"/>
      <c r="I3" s="18"/>
      <c r="K3" s="21" t="s">
        <v>418</v>
      </c>
      <c r="L3" s="21" t="s">
        <v>419</v>
      </c>
      <c r="M3" s="12"/>
      <c r="N3" s="12"/>
      <c r="O3" s="12"/>
      <c r="P3" s="12"/>
      <c r="Q3" s="12"/>
      <c r="R3" s="12"/>
    </row>
    <row r="4" spans="1:31" s="20" customFormat="1" ht="12.75" x14ac:dyDescent="0.2">
      <c r="A4" s="16"/>
      <c r="B4" s="17" t="s">
        <v>339</v>
      </c>
      <c r="D4" s="16"/>
      <c r="E4" s="16"/>
      <c r="F4" s="16"/>
      <c r="G4" s="22"/>
      <c r="H4" s="16"/>
      <c r="I4" s="22"/>
      <c r="K4" s="23">
        <v>0.26529999999999998</v>
      </c>
      <c r="L4" s="23">
        <v>0.20499999999999999</v>
      </c>
      <c r="M4" s="12"/>
      <c r="N4" s="12"/>
      <c r="O4" s="12"/>
      <c r="P4" s="12"/>
      <c r="Q4" s="12"/>
      <c r="R4" s="12"/>
    </row>
    <row r="5" spans="1:31" s="20" customFormat="1" ht="12.75" x14ac:dyDescent="0.2">
      <c r="A5" s="16"/>
      <c r="B5" s="17" t="s">
        <v>420</v>
      </c>
      <c r="D5" s="16"/>
      <c r="E5" s="16"/>
      <c r="F5" s="16"/>
      <c r="G5" s="22"/>
      <c r="H5" s="16"/>
      <c r="I5" s="22"/>
      <c r="K5" s="12"/>
      <c r="L5" s="12"/>
      <c r="M5" s="12"/>
      <c r="N5" s="12"/>
      <c r="O5" s="12"/>
      <c r="P5" s="12"/>
      <c r="Q5" s="12"/>
      <c r="R5" s="12"/>
    </row>
    <row r="6" spans="1:31" s="20" customFormat="1" ht="13.5" thickBot="1" x14ac:dyDescent="0.25">
      <c r="A6" s="16"/>
      <c r="B6" s="24" t="s">
        <v>400</v>
      </c>
      <c r="D6" s="16"/>
      <c r="E6" s="16"/>
      <c r="F6" s="16"/>
      <c r="G6" s="22"/>
      <c r="H6" s="16"/>
      <c r="I6" s="22"/>
      <c r="K6" s="12"/>
      <c r="L6" s="12"/>
      <c r="M6" s="12"/>
      <c r="N6" s="12"/>
      <c r="O6" s="12"/>
      <c r="P6" s="12"/>
      <c r="Q6" s="12"/>
      <c r="R6" s="12"/>
    </row>
    <row r="7" spans="1:31" s="12" customFormat="1" ht="12" thickBot="1" x14ac:dyDescent="0.25">
      <c r="A7" s="8"/>
      <c r="B7" s="8"/>
      <c r="C7" s="8"/>
      <c r="D7" s="9"/>
      <c r="E7" s="10"/>
      <c r="F7" s="11"/>
      <c r="G7" s="253" t="s">
        <v>421</v>
      </c>
      <c r="H7" s="254"/>
      <c r="I7" s="255"/>
    </row>
    <row r="8" spans="1:31" s="31" customFormat="1" ht="23.25" thickBot="1" x14ac:dyDescent="0.3">
      <c r="A8" s="25" t="s">
        <v>0</v>
      </c>
      <c r="B8" s="26" t="s">
        <v>54</v>
      </c>
      <c r="C8" s="26" t="s">
        <v>13</v>
      </c>
      <c r="D8" s="26" t="s">
        <v>1</v>
      </c>
      <c r="E8" s="26" t="s">
        <v>2</v>
      </c>
      <c r="F8" s="27" t="s">
        <v>51</v>
      </c>
      <c r="G8" s="28" t="s">
        <v>92</v>
      </c>
      <c r="H8" s="29" t="s">
        <v>93</v>
      </c>
      <c r="I8" s="30" t="s">
        <v>94</v>
      </c>
      <c r="K8" s="32"/>
    </row>
    <row r="9" spans="1:31" s="40" customFormat="1" x14ac:dyDescent="0.2">
      <c r="A9" s="33"/>
      <c r="B9" s="34"/>
      <c r="C9" s="34"/>
      <c r="D9" s="35"/>
      <c r="E9" s="36"/>
      <c r="F9" s="37"/>
      <c r="G9" s="38"/>
      <c r="H9" s="39"/>
      <c r="I9" s="37"/>
    </row>
    <row r="10" spans="1:31" s="51" customFormat="1" x14ac:dyDescent="0.2">
      <c r="A10" s="41" t="s">
        <v>228</v>
      </c>
      <c r="B10" s="42"/>
      <c r="C10" s="42"/>
      <c r="D10" s="43" t="s">
        <v>3</v>
      </c>
      <c r="E10" s="44"/>
      <c r="F10" s="45"/>
      <c r="G10" s="46"/>
      <c r="H10" s="47"/>
      <c r="I10" s="48">
        <f>SUM(I11:I13)</f>
        <v>40160.18</v>
      </c>
      <c r="J10" s="49" t="s">
        <v>98</v>
      </c>
      <c r="K10" s="50" t="s">
        <v>153</v>
      </c>
      <c r="AE10" s="52"/>
    </row>
    <row r="11" spans="1:31" s="12" customFormat="1" ht="22.5" x14ac:dyDescent="0.2">
      <c r="A11" s="55" t="s">
        <v>229</v>
      </c>
      <c r="B11" s="56" t="s">
        <v>53</v>
      </c>
      <c r="C11" s="175" t="s">
        <v>340</v>
      </c>
      <c r="D11" s="176" t="s">
        <v>341</v>
      </c>
      <c r="E11" s="58" t="s">
        <v>100</v>
      </c>
      <c r="F11" s="59">
        <v>6</v>
      </c>
      <c r="G11" s="60" t="s">
        <v>342</v>
      </c>
      <c r="H11" s="61">
        <f>ROUND(G11*(1+$L$4),2)</f>
        <v>375.63</v>
      </c>
      <c r="I11" s="59">
        <f>TRUNC(F11*H11,2)</f>
        <v>2253.7800000000002</v>
      </c>
      <c r="AE11" s="53" t="s">
        <v>113</v>
      </c>
    </row>
    <row r="12" spans="1:31" s="12" customFormat="1" ht="23.25" customHeight="1" x14ac:dyDescent="0.2">
      <c r="A12" s="55" t="s">
        <v>401</v>
      </c>
      <c r="B12" s="56" t="s">
        <v>53</v>
      </c>
      <c r="C12" s="175" t="s">
        <v>349</v>
      </c>
      <c r="D12" s="176" t="s">
        <v>350</v>
      </c>
      <c r="E12" s="58" t="s">
        <v>97</v>
      </c>
      <c r="F12" s="59">
        <v>140</v>
      </c>
      <c r="G12" s="60">
        <v>60.4</v>
      </c>
      <c r="H12" s="61">
        <f>ROUND(G12*(1+$L$4),2)</f>
        <v>72.78</v>
      </c>
      <c r="I12" s="59">
        <f>TRUNC(F12*H12,2)</f>
        <v>10189.200000000001</v>
      </c>
      <c r="AE12" s="53" t="s">
        <v>113</v>
      </c>
    </row>
    <row r="13" spans="1:31" s="12" customFormat="1" x14ac:dyDescent="0.2">
      <c r="A13" s="55" t="s">
        <v>402</v>
      </c>
      <c r="B13" s="56" t="s">
        <v>53</v>
      </c>
      <c r="C13" s="175" t="s">
        <v>351</v>
      </c>
      <c r="D13" s="176" t="s">
        <v>352</v>
      </c>
      <c r="E13" s="58" t="s">
        <v>100</v>
      </c>
      <c r="F13" s="59">
        <v>190</v>
      </c>
      <c r="G13" s="60" t="s">
        <v>355</v>
      </c>
      <c r="H13" s="61">
        <f>ROUND(G13*(1+$L$4),2)</f>
        <v>145.88</v>
      </c>
      <c r="I13" s="59">
        <f>TRUNC(F13*H13,2)</f>
        <v>27717.200000000001</v>
      </c>
      <c r="AE13" s="53" t="s">
        <v>113</v>
      </c>
    </row>
    <row r="14" spans="1:31" s="51" customFormat="1" x14ac:dyDescent="0.2">
      <c r="A14" s="41" t="s">
        <v>230</v>
      </c>
      <c r="B14" s="42"/>
      <c r="C14" s="42"/>
      <c r="D14" s="43" t="s">
        <v>338</v>
      </c>
      <c r="E14" s="44"/>
      <c r="F14" s="45"/>
      <c r="G14" s="46"/>
      <c r="H14" s="47"/>
      <c r="I14" s="48">
        <f>SUM(I15:I15)</f>
        <v>51335.58</v>
      </c>
      <c r="J14" s="49" t="s">
        <v>98</v>
      </c>
      <c r="K14" s="50" t="s">
        <v>153</v>
      </c>
      <c r="AE14" s="52"/>
    </row>
    <row r="15" spans="1:31" s="40" customFormat="1" x14ac:dyDescent="0.2">
      <c r="A15" s="55" t="s">
        <v>4</v>
      </c>
      <c r="B15" s="56" t="s">
        <v>241</v>
      </c>
      <c r="C15" s="175" t="s">
        <v>152</v>
      </c>
      <c r="D15" s="176" t="s">
        <v>343</v>
      </c>
      <c r="E15" s="58" t="s">
        <v>102</v>
      </c>
      <c r="F15" s="59">
        <v>1</v>
      </c>
      <c r="G15" s="60">
        <f>'COMPOSIÇÕES PRÓPRIAS'!I20</f>
        <v>42602.14</v>
      </c>
      <c r="H15" s="61">
        <f>ROUND(G15*(1+$L$4),2)</f>
        <v>51335.58</v>
      </c>
      <c r="I15" s="59">
        <f>TRUNC(F15*H15,2)</f>
        <v>51335.58</v>
      </c>
      <c r="J15" s="12"/>
      <c r="L15" s="12"/>
      <c r="AE15" s="53" t="s">
        <v>99</v>
      </c>
    </row>
    <row r="16" spans="1:31" s="51" customFormat="1" x14ac:dyDescent="0.2">
      <c r="A16" s="41" t="s">
        <v>231</v>
      </c>
      <c r="B16" s="42"/>
      <c r="C16" s="42"/>
      <c r="D16" s="43" t="s">
        <v>34</v>
      </c>
      <c r="E16" s="44"/>
      <c r="F16" s="45"/>
      <c r="G16" s="46"/>
      <c r="H16" s="47"/>
      <c r="I16" s="48">
        <f>SUM(I17:I19)</f>
        <v>30310.449999999997</v>
      </c>
      <c r="J16" s="49" t="s">
        <v>98</v>
      </c>
      <c r="K16" s="50" t="s">
        <v>153</v>
      </c>
      <c r="AE16" s="52"/>
    </row>
    <row r="17" spans="1:31" s="12" customFormat="1" ht="22.5" x14ac:dyDescent="0.2">
      <c r="A17" s="55" t="s">
        <v>5</v>
      </c>
      <c r="B17" s="56" t="s">
        <v>53</v>
      </c>
      <c r="C17" s="56" t="s">
        <v>103</v>
      </c>
      <c r="D17" s="176" t="s">
        <v>172</v>
      </c>
      <c r="E17" s="58" t="s">
        <v>106</v>
      </c>
      <c r="F17" s="59">
        <v>171.84</v>
      </c>
      <c r="G17" s="60">
        <v>84.18</v>
      </c>
      <c r="H17" s="61">
        <f>ROUND(G17*(1+$L$4),2)</f>
        <v>101.44</v>
      </c>
      <c r="I17" s="59">
        <f>TRUNC(F17*H17,2)</f>
        <v>17431.439999999999</v>
      </c>
      <c r="AE17" s="53" t="s">
        <v>114</v>
      </c>
    </row>
    <row r="18" spans="1:31" s="12" customFormat="1" x14ac:dyDescent="0.2">
      <c r="A18" s="55" t="s">
        <v>6</v>
      </c>
      <c r="B18" s="56" t="s">
        <v>53</v>
      </c>
      <c r="C18" s="56" t="s">
        <v>353</v>
      </c>
      <c r="D18" s="176" t="s">
        <v>354</v>
      </c>
      <c r="E18" s="58" t="s">
        <v>106</v>
      </c>
      <c r="F18" s="59">
        <v>117.35000000000001</v>
      </c>
      <c r="G18" s="60">
        <v>73.39</v>
      </c>
      <c r="H18" s="61">
        <f>ROUND(G18*(1+$L$4),2)</f>
        <v>88.43</v>
      </c>
      <c r="I18" s="59">
        <f>TRUNC(F18*H18,2)</f>
        <v>10377.26</v>
      </c>
      <c r="AE18" s="53" t="s">
        <v>115</v>
      </c>
    </row>
    <row r="19" spans="1:31" s="12" customFormat="1" x14ac:dyDescent="0.2">
      <c r="A19" s="55" t="s">
        <v>336</v>
      </c>
      <c r="B19" s="56" t="s">
        <v>53</v>
      </c>
      <c r="C19" s="56" t="s">
        <v>359</v>
      </c>
      <c r="D19" s="176" t="s">
        <v>360</v>
      </c>
      <c r="E19" s="58" t="s">
        <v>106</v>
      </c>
      <c r="F19" s="59">
        <v>97.079999999999984</v>
      </c>
      <c r="G19" s="60">
        <v>21.39</v>
      </c>
      <c r="H19" s="61">
        <f>ROUND(G19*(1+$L$4),2)</f>
        <v>25.77</v>
      </c>
      <c r="I19" s="59">
        <f>TRUNC(F19*H19,2)</f>
        <v>2501.75</v>
      </c>
      <c r="AE19" s="53" t="s">
        <v>115</v>
      </c>
    </row>
    <row r="20" spans="1:31" s="51" customFormat="1" x14ac:dyDescent="0.2">
      <c r="A20" s="41" t="s">
        <v>232</v>
      </c>
      <c r="B20" s="42"/>
      <c r="C20" s="42"/>
      <c r="D20" s="43" t="s">
        <v>45</v>
      </c>
      <c r="E20" s="44"/>
      <c r="F20" s="45"/>
      <c r="G20" s="46"/>
      <c r="H20" s="47"/>
      <c r="I20" s="48">
        <f>SUM(I21:I30)</f>
        <v>174773.75999999998</v>
      </c>
      <c r="J20" s="49" t="s">
        <v>98</v>
      </c>
      <c r="K20" s="50" t="s">
        <v>153</v>
      </c>
      <c r="AE20" s="52"/>
    </row>
    <row r="21" spans="1:31" s="12" customFormat="1" x14ac:dyDescent="0.2">
      <c r="A21" s="55" t="s">
        <v>8</v>
      </c>
      <c r="B21" s="56" t="s">
        <v>53</v>
      </c>
      <c r="C21" s="56" t="s">
        <v>105</v>
      </c>
      <c r="D21" s="176" t="s">
        <v>145</v>
      </c>
      <c r="E21" s="58" t="s">
        <v>106</v>
      </c>
      <c r="F21" s="59">
        <v>8.02</v>
      </c>
      <c r="G21" s="60" t="s">
        <v>361</v>
      </c>
      <c r="H21" s="61">
        <f t="shared" ref="H21:H30" si="0">ROUND(G21*(1+$L$4),2)</f>
        <v>766.02</v>
      </c>
      <c r="I21" s="59">
        <f t="shared" ref="I21:I30" si="1">TRUNC(F21*H21,2)</f>
        <v>6143.48</v>
      </c>
      <c r="AE21" s="53" t="s">
        <v>116</v>
      </c>
    </row>
    <row r="22" spans="1:31" s="12" customFormat="1" ht="33.75" x14ac:dyDescent="0.2">
      <c r="A22" s="55" t="s">
        <v>9</v>
      </c>
      <c r="B22" s="56" t="s">
        <v>241</v>
      </c>
      <c r="C22" s="175" t="s">
        <v>337</v>
      </c>
      <c r="D22" s="176" t="s">
        <v>244</v>
      </c>
      <c r="E22" s="58" t="s">
        <v>106</v>
      </c>
      <c r="F22" s="59">
        <v>128.26</v>
      </c>
      <c r="G22" s="60">
        <f>'COMPOSIÇÕES PRÓPRIAS'!I55</f>
        <v>82.42</v>
      </c>
      <c r="H22" s="61">
        <f t="shared" si="0"/>
        <v>99.32</v>
      </c>
      <c r="I22" s="59">
        <f t="shared" si="1"/>
        <v>12738.78</v>
      </c>
      <c r="AE22" s="53" t="s">
        <v>114</v>
      </c>
    </row>
    <row r="23" spans="1:31" s="12" customFormat="1" ht="22.5" x14ac:dyDescent="0.2">
      <c r="A23" s="55" t="s">
        <v>8</v>
      </c>
      <c r="B23" s="56" t="s">
        <v>53</v>
      </c>
      <c r="C23" s="56" t="s">
        <v>444</v>
      </c>
      <c r="D23" s="176" t="s">
        <v>445</v>
      </c>
      <c r="E23" s="58" t="s">
        <v>100</v>
      </c>
      <c r="F23" s="59">
        <v>403.16999999999996</v>
      </c>
      <c r="G23" s="60">
        <v>82.44</v>
      </c>
      <c r="H23" s="61">
        <f t="shared" si="0"/>
        <v>99.34</v>
      </c>
      <c r="I23" s="59">
        <f t="shared" si="1"/>
        <v>40050.9</v>
      </c>
      <c r="AE23" s="53" t="s">
        <v>116</v>
      </c>
    </row>
    <row r="24" spans="1:31" s="12" customFormat="1" ht="22.5" x14ac:dyDescent="0.2">
      <c r="A24" s="55" t="s">
        <v>8</v>
      </c>
      <c r="B24" s="56" t="s">
        <v>53</v>
      </c>
      <c r="C24" s="56" t="s">
        <v>438</v>
      </c>
      <c r="D24" s="176" t="s">
        <v>439</v>
      </c>
      <c r="E24" s="58" t="s">
        <v>424</v>
      </c>
      <c r="F24" s="59">
        <v>309</v>
      </c>
      <c r="G24" s="60">
        <v>16.239999999999998</v>
      </c>
      <c r="H24" s="61">
        <f t="shared" si="0"/>
        <v>19.57</v>
      </c>
      <c r="I24" s="59">
        <f t="shared" si="1"/>
        <v>6047.13</v>
      </c>
      <c r="AE24" s="53" t="s">
        <v>116</v>
      </c>
    </row>
    <row r="25" spans="1:31" s="12" customFormat="1" ht="22.5" x14ac:dyDescent="0.2">
      <c r="A25" s="55" t="s">
        <v>8</v>
      </c>
      <c r="B25" s="56" t="s">
        <v>53</v>
      </c>
      <c r="C25" s="56" t="s">
        <v>422</v>
      </c>
      <c r="D25" s="176" t="s">
        <v>423</v>
      </c>
      <c r="E25" s="58" t="s">
        <v>424</v>
      </c>
      <c r="F25" s="59">
        <v>1201</v>
      </c>
      <c r="G25" s="60">
        <v>14.46</v>
      </c>
      <c r="H25" s="61">
        <f t="shared" si="0"/>
        <v>17.420000000000002</v>
      </c>
      <c r="I25" s="59">
        <f t="shared" si="1"/>
        <v>20921.419999999998</v>
      </c>
      <c r="AE25" s="53" t="s">
        <v>116</v>
      </c>
    </row>
    <row r="26" spans="1:31" s="12" customFormat="1" ht="22.5" x14ac:dyDescent="0.2">
      <c r="A26" s="55" t="s">
        <v>8</v>
      </c>
      <c r="B26" s="56" t="s">
        <v>53</v>
      </c>
      <c r="C26" s="56" t="s">
        <v>440</v>
      </c>
      <c r="D26" s="176" t="s">
        <v>441</v>
      </c>
      <c r="E26" s="58" t="s">
        <v>424</v>
      </c>
      <c r="F26" s="59">
        <v>85</v>
      </c>
      <c r="G26" s="60">
        <v>12.17</v>
      </c>
      <c r="H26" s="61">
        <f t="shared" si="0"/>
        <v>14.66</v>
      </c>
      <c r="I26" s="59">
        <f t="shared" si="1"/>
        <v>1246.0999999999999</v>
      </c>
      <c r="AE26" s="53" t="s">
        <v>116</v>
      </c>
    </row>
    <row r="27" spans="1:31" s="12" customFormat="1" ht="22.5" x14ac:dyDescent="0.2">
      <c r="A27" s="55" t="s">
        <v>8</v>
      </c>
      <c r="B27" s="56" t="s">
        <v>53</v>
      </c>
      <c r="C27" s="56" t="s">
        <v>429</v>
      </c>
      <c r="D27" s="177" t="s">
        <v>430</v>
      </c>
      <c r="E27" s="58" t="s">
        <v>424</v>
      </c>
      <c r="F27" s="59">
        <v>307</v>
      </c>
      <c r="G27" s="60">
        <v>15.34</v>
      </c>
      <c r="H27" s="61">
        <f t="shared" si="0"/>
        <v>18.48</v>
      </c>
      <c r="I27" s="59">
        <f t="shared" si="1"/>
        <v>5673.36</v>
      </c>
      <c r="AE27" s="53" t="s">
        <v>116</v>
      </c>
    </row>
    <row r="28" spans="1:31" s="12" customFormat="1" ht="22.5" x14ac:dyDescent="0.2">
      <c r="A28" s="55" t="s">
        <v>10</v>
      </c>
      <c r="B28" s="56" t="s">
        <v>53</v>
      </c>
      <c r="C28" s="56" t="s">
        <v>433</v>
      </c>
      <c r="D28" s="177" t="s">
        <v>434</v>
      </c>
      <c r="E28" s="58" t="s">
        <v>106</v>
      </c>
      <c r="F28" s="59">
        <v>41.09</v>
      </c>
      <c r="G28" s="60">
        <v>495.71</v>
      </c>
      <c r="H28" s="61">
        <f t="shared" si="0"/>
        <v>597.33000000000004</v>
      </c>
      <c r="I28" s="59">
        <f t="shared" si="1"/>
        <v>24544.28</v>
      </c>
      <c r="AE28" s="53" t="s">
        <v>116</v>
      </c>
    </row>
    <row r="29" spans="1:31" s="12" customFormat="1" ht="22.5" x14ac:dyDescent="0.2">
      <c r="A29" s="55" t="s">
        <v>10</v>
      </c>
      <c r="B29" s="56" t="s">
        <v>53</v>
      </c>
      <c r="C29" s="56" t="s">
        <v>435</v>
      </c>
      <c r="D29" s="177" t="s">
        <v>436</v>
      </c>
      <c r="E29" s="58" t="s">
        <v>106</v>
      </c>
      <c r="F29" s="59">
        <v>41.09</v>
      </c>
      <c r="G29" s="60" t="s">
        <v>437</v>
      </c>
      <c r="H29" s="61">
        <f t="shared" si="0"/>
        <v>347.61</v>
      </c>
      <c r="I29" s="59">
        <f t="shared" si="1"/>
        <v>14283.29</v>
      </c>
      <c r="AE29" s="53" t="s">
        <v>116</v>
      </c>
    </row>
    <row r="30" spans="1:31" s="12" customFormat="1" ht="22.5" x14ac:dyDescent="0.2">
      <c r="A30" s="55" t="s">
        <v>9</v>
      </c>
      <c r="B30" s="56" t="s">
        <v>53</v>
      </c>
      <c r="C30" s="56" t="s">
        <v>446</v>
      </c>
      <c r="D30" s="177" t="s">
        <v>447</v>
      </c>
      <c r="E30" s="58" t="s">
        <v>106</v>
      </c>
      <c r="F30" s="59">
        <v>14.01</v>
      </c>
      <c r="G30" s="60" t="s">
        <v>448</v>
      </c>
      <c r="H30" s="61">
        <f t="shared" si="0"/>
        <v>3078.16</v>
      </c>
      <c r="I30" s="59">
        <f t="shared" si="1"/>
        <v>43125.02</v>
      </c>
      <c r="AE30" s="53" t="s">
        <v>116</v>
      </c>
    </row>
    <row r="31" spans="1:31" s="51" customFormat="1" x14ac:dyDescent="0.2">
      <c r="A31" s="41" t="s">
        <v>233</v>
      </c>
      <c r="B31" s="42"/>
      <c r="C31" s="42"/>
      <c r="D31" s="43" t="s">
        <v>35</v>
      </c>
      <c r="E31" s="44"/>
      <c r="F31" s="45"/>
      <c r="G31" s="46"/>
      <c r="H31" s="47"/>
      <c r="I31" s="48">
        <f>SUM(I32:I44)</f>
        <v>186475.8</v>
      </c>
      <c r="J31" s="49" t="s">
        <v>98</v>
      </c>
      <c r="K31" s="50" t="s">
        <v>153</v>
      </c>
      <c r="AE31" s="52"/>
    </row>
    <row r="32" spans="1:31" s="12" customFormat="1" ht="33.75" x14ac:dyDescent="0.2">
      <c r="A32" s="55" t="s">
        <v>10</v>
      </c>
      <c r="B32" s="56" t="s">
        <v>53</v>
      </c>
      <c r="C32" s="56" t="s">
        <v>449</v>
      </c>
      <c r="D32" s="177" t="s">
        <v>450</v>
      </c>
      <c r="E32" s="58" t="s">
        <v>100</v>
      </c>
      <c r="F32" s="59">
        <v>205.04</v>
      </c>
      <c r="G32" s="60">
        <v>56.61</v>
      </c>
      <c r="H32" s="61">
        <f t="shared" ref="H32:H44" si="2">ROUND(G32*(1+$L$4),2)</f>
        <v>68.22</v>
      </c>
      <c r="I32" s="59">
        <f t="shared" ref="I32:I44" si="3">TRUNC(F32*H32,2)</f>
        <v>13987.82</v>
      </c>
      <c r="AE32" s="53" t="s">
        <v>116</v>
      </c>
    </row>
    <row r="33" spans="1:31" s="12" customFormat="1" ht="33.75" x14ac:dyDescent="0.2">
      <c r="A33" s="55" t="s">
        <v>10</v>
      </c>
      <c r="B33" s="56" t="s">
        <v>53</v>
      </c>
      <c r="C33" s="56" t="s">
        <v>451</v>
      </c>
      <c r="D33" s="177" t="s">
        <v>452</v>
      </c>
      <c r="E33" s="58" t="s">
        <v>100</v>
      </c>
      <c r="F33" s="59">
        <v>318.29000000000002</v>
      </c>
      <c r="G33" s="60">
        <v>111.29</v>
      </c>
      <c r="H33" s="61">
        <f t="shared" si="2"/>
        <v>134.1</v>
      </c>
      <c r="I33" s="59">
        <f t="shared" si="3"/>
        <v>42682.68</v>
      </c>
      <c r="AE33" s="53" t="s">
        <v>116</v>
      </c>
    </row>
    <row r="34" spans="1:31" s="12" customFormat="1" ht="22.5" x14ac:dyDescent="0.2">
      <c r="A34" s="55" t="s">
        <v>10</v>
      </c>
      <c r="B34" s="56" t="s">
        <v>53</v>
      </c>
      <c r="C34" s="56" t="s">
        <v>431</v>
      </c>
      <c r="D34" s="177" t="s">
        <v>432</v>
      </c>
      <c r="E34" s="58" t="s">
        <v>424</v>
      </c>
      <c r="F34" s="59">
        <v>41</v>
      </c>
      <c r="G34" s="60">
        <v>14.76</v>
      </c>
      <c r="H34" s="61">
        <f t="shared" si="2"/>
        <v>17.79</v>
      </c>
      <c r="I34" s="59">
        <f t="shared" si="3"/>
        <v>729.39</v>
      </c>
      <c r="AE34" s="53" t="s">
        <v>116</v>
      </c>
    </row>
    <row r="35" spans="1:31" s="12" customFormat="1" ht="22.5" x14ac:dyDescent="0.2">
      <c r="A35" s="55" t="s">
        <v>10</v>
      </c>
      <c r="B35" s="56" t="s">
        <v>53</v>
      </c>
      <c r="C35" s="56" t="s">
        <v>442</v>
      </c>
      <c r="D35" s="177" t="s">
        <v>443</v>
      </c>
      <c r="E35" s="58" t="s">
        <v>424</v>
      </c>
      <c r="F35" s="59">
        <v>1090</v>
      </c>
      <c r="G35" s="60">
        <v>14.05</v>
      </c>
      <c r="H35" s="61">
        <f t="shared" si="2"/>
        <v>16.93</v>
      </c>
      <c r="I35" s="59">
        <f t="shared" si="3"/>
        <v>18453.7</v>
      </c>
      <c r="AE35" s="53" t="s">
        <v>116</v>
      </c>
    </row>
    <row r="36" spans="1:31" s="12" customFormat="1" ht="22.5" x14ac:dyDescent="0.2">
      <c r="A36" s="55" t="s">
        <v>10</v>
      </c>
      <c r="B36" s="56" t="s">
        <v>53</v>
      </c>
      <c r="C36" s="56" t="s">
        <v>425</v>
      </c>
      <c r="D36" s="177" t="s">
        <v>426</v>
      </c>
      <c r="E36" s="58" t="s">
        <v>424</v>
      </c>
      <c r="F36" s="59">
        <v>1521</v>
      </c>
      <c r="G36" s="60">
        <v>12.66</v>
      </c>
      <c r="H36" s="61">
        <f t="shared" si="2"/>
        <v>15.26</v>
      </c>
      <c r="I36" s="59">
        <f t="shared" si="3"/>
        <v>23210.46</v>
      </c>
      <c r="AE36" s="53" t="s">
        <v>116</v>
      </c>
    </row>
    <row r="37" spans="1:31" s="12" customFormat="1" ht="22.5" x14ac:dyDescent="0.2">
      <c r="A37" s="55" t="s">
        <v>10</v>
      </c>
      <c r="B37" s="56" t="s">
        <v>53</v>
      </c>
      <c r="C37" s="56" t="s">
        <v>427</v>
      </c>
      <c r="D37" s="177" t="s">
        <v>428</v>
      </c>
      <c r="E37" s="58" t="s">
        <v>424</v>
      </c>
      <c r="F37" s="59">
        <v>245</v>
      </c>
      <c r="G37" s="60">
        <v>10.68</v>
      </c>
      <c r="H37" s="61">
        <f t="shared" si="2"/>
        <v>12.87</v>
      </c>
      <c r="I37" s="59">
        <f t="shared" si="3"/>
        <v>3153.15</v>
      </c>
      <c r="AE37" s="53" t="s">
        <v>116</v>
      </c>
    </row>
    <row r="38" spans="1:31" s="12" customFormat="1" ht="22.5" x14ac:dyDescent="0.2">
      <c r="A38" s="55" t="s">
        <v>10</v>
      </c>
      <c r="B38" s="56" t="s">
        <v>53</v>
      </c>
      <c r="C38" s="56" t="s">
        <v>429</v>
      </c>
      <c r="D38" s="177" t="s">
        <v>430</v>
      </c>
      <c r="E38" s="58" t="s">
        <v>424</v>
      </c>
      <c r="F38" s="59">
        <v>635</v>
      </c>
      <c r="G38" s="60">
        <v>15.34</v>
      </c>
      <c r="H38" s="61">
        <f t="shared" si="2"/>
        <v>18.48</v>
      </c>
      <c r="I38" s="59">
        <f t="shared" si="3"/>
        <v>11734.8</v>
      </c>
      <c r="AE38" s="53" t="s">
        <v>116</v>
      </c>
    </row>
    <row r="39" spans="1:31" s="12" customFormat="1" ht="22.5" x14ac:dyDescent="0.2">
      <c r="A39" s="55" t="s">
        <v>10</v>
      </c>
      <c r="B39" s="56" t="s">
        <v>53</v>
      </c>
      <c r="C39" s="56" t="s">
        <v>433</v>
      </c>
      <c r="D39" s="177" t="s">
        <v>434</v>
      </c>
      <c r="E39" s="58" t="s">
        <v>106</v>
      </c>
      <c r="F39" s="59">
        <v>33.11</v>
      </c>
      <c r="G39" s="60">
        <v>495.71</v>
      </c>
      <c r="H39" s="61">
        <f t="shared" si="2"/>
        <v>597.33000000000004</v>
      </c>
      <c r="I39" s="59">
        <f t="shared" si="3"/>
        <v>19777.59</v>
      </c>
      <c r="AE39" s="53" t="s">
        <v>116</v>
      </c>
    </row>
    <row r="40" spans="1:31" s="12" customFormat="1" ht="22.5" x14ac:dyDescent="0.2">
      <c r="A40" s="55" t="s">
        <v>10</v>
      </c>
      <c r="B40" s="56" t="s">
        <v>53</v>
      </c>
      <c r="C40" s="56" t="s">
        <v>435</v>
      </c>
      <c r="D40" s="177" t="s">
        <v>436</v>
      </c>
      <c r="E40" s="58" t="s">
        <v>106</v>
      </c>
      <c r="F40" s="59">
        <v>33.11</v>
      </c>
      <c r="G40" s="60" t="s">
        <v>437</v>
      </c>
      <c r="H40" s="61">
        <f t="shared" si="2"/>
        <v>347.61</v>
      </c>
      <c r="I40" s="59">
        <f t="shared" si="3"/>
        <v>11509.36</v>
      </c>
      <c r="AE40" s="53" t="s">
        <v>116</v>
      </c>
    </row>
    <row r="41" spans="1:31" s="12" customFormat="1" ht="22.5" x14ac:dyDescent="0.2">
      <c r="A41" s="55" t="s">
        <v>10</v>
      </c>
      <c r="B41" s="56" t="s">
        <v>53</v>
      </c>
      <c r="C41" s="56" t="s">
        <v>446</v>
      </c>
      <c r="D41" s="177" t="s">
        <v>447</v>
      </c>
      <c r="E41" s="58" t="s">
        <v>106</v>
      </c>
      <c r="F41" s="59">
        <v>9.7099999999999991</v>
      </c>
      <c r="G41" s="60" t="s">
        <v>448</v>
      </c>
      <c r="H41" s="61">
        <f t="shared" si="2"/>
        <v>3078.16</v>
      </c>
      <c r="I41" s="59">
        <f t="shared" si="3"/>
        <v>29888.93</v>
      </c>
      <c r="AE41" s="53" t="s">
        <v>116</v>
      </c>
    </row>
    <row r="42" spans="1:31" s="12" customFormat="1" ht="33.75" x14ac:dyDescent="0.2">
      <c r="A42" s="55" t="s">
        <v>320</v>
      </c>
      <c r="B42" s="178" t="s">
        <v>53</v>
      </c>
      <c r="C42" s="178" t="s">
        <v>199</v>
      </c>
      <c r="D42" s="176" t="s">
        <v>200</v>
      </c>
      <c r="E42" s="58" t="s">
        <v>100</v>
      </c>
      <c r="F42" s="59">
        <v>23.69</v>
      </c>
      <c r="G42" s="60">
        <v>200.14</v>
      </c>
      <c r="H42" s="61">
        <f t="shared" si="2"/>
        <v>241.17</v>
      </c>
      <c r="I42" s="59">
        <f t="shared" si="3"/>
        <v>5713.31</v>
      </c>
      <c r="AE42" s="53" t="s">
        <v>117</v>
      </c>
    </row>
    <row r="43" spans="1:31" s="12" customFormat="1" x14ac:dyDescent="0.2">
      <c r="A43" s="55" t="s">
        <v>11</v>
      </c>
      <c r="B43" s="178" t="s">
        <v>53</v>
      </c>
      <c r="C43" s="178">
        <v>93184</v>
      </c>
      <c r="D43" s="176" t="s">
        <v>118</v>
      </c>
      <c r="E43" s="58" t="s">
        <v>7</v>
      </c>
      <c r="F43" s="59">
        <v>16</v>
      </c>
      <c r="G43" s="60">
        <v>39.549999999999997</v>
      </c>
      <c r="H43" s="61">
        <f t="shared" si="2"/>
        <v>47.66</v>
      </c>
      <c r="I43" s="59">
        <f t="shared" si="3"/>
        <v>762.56</v>
      </c>
      <c r="AE43" s="53" t="s">
        <v>118</v>
      </c>
    </row>
    <row r="44" spans="1:31" s="12" customFormat="1" x14ac:dyDescent="0.2">
      <c r="A44" s="55" t="s">
        <v>12</v>
      </c>
      <c r="B44" s="178" t="s">
        <v>53</v>
      </c>
      <c r="C44" s="178">
        <v>93182</v>
      </c>
      <c r="D44" s="176" t="s">
        <v>119</v>
      </c>
      <c r="E44" s="58" t="s">
        <v>7</v>
      </c>
      <c r="F44" s="59">
        <v>75.7</v>
      </c>
      <c r="G44" s="60">
        <v>53.41</v>
      </c>
      <c r="H44" s="61">
        <f t="shared" si="2"/>
        <v>64.36</v>
      </c>
      <c r="I44" s="59">
        <f t="shared" si="3"/>
        <v>4872.05</v>
      </c>
      <c r="AE44" s="53" t="s">
        <v>119</v>
      </c>
    </row>
    <row r="45" spans="1:31" s="51" customFormat="1" x14ac:dyDescent="0.2">
      <c r="A45" s="41" t="s">
        <v>234</v>
      </c>
      <c r="B45" s="42"/>
      <c r="C45" s="42"/>
      <c r="D45" s="43" t="s">
        <v>37</v>
      </c>
      <c r="E45" s="44"/>
      <c r="F45" s="45"/>
      <c r="G45" s="46"/>
      <c r="H45" s="47"/>
      <c r="I45" s="48">
        <f>SUM(I46:I49)</f>
        <v>292600.49</v>
      </c>
      <c r="J45" s="49" t="s">
        <v>98</v>
      </c>
      <c r="K45" s="50" t="s">
        <v>153</v>
      </c>
      <c r="AE45" s="52"/>
    </row>
    <row r="46" spans="1:31" s="12" customFormat="1" ht="33.75" x14ac:dyDescent="0.2">
      <c r="A46" s="55" t="s">
        <v>15</v>
      </c>
      <c r="B46" s="56" t="s">
        <v>53</v>
      </c>
      <c r="C46" s="56" t="s">
        <v>248</v>
      </c>
      <c r="D46" s="176" t="s">
        <v>249</v>
      </c>
      <c r="E46" s="58" t="s">
        <v>100</v>
      </c>
      <c r="F46" s="59">
        <v>1370.8199999999997</v>
      </c>
      <c r="G46" s="60">
        <v>81.02</v>
      </c>
      <c r="H46" s="61">
        <f>ROUND(G46*(1+$L$4),2)</f>
        <v>97.63</v>
      </c>
      <c r="I46" s="59">
        <f>TRUNC(F46*H46,2)</f>
        <v>133833.15</v>
      </c>
      <c r="AE46" s="53" t="s">
        <v>120</v>
      </c>
    </row>
    <row r="47" spans="1:31" s="12" customFormat="1" ht="33.75" x14ac:dyDescent="0.2">
      <c r="A47" s="55" t="s">
        <v>16</v>
      </c>
      <c r="B47" s="56" t="s">
        <v>53</v>
      </c>
      <c r="C47" s="56" t="s">
        <v>104</v>
      </c>
      <c r="D47" s="176" t="s">
        <v>146</v>
      </c>
      <c r="E47" s="58" t="s">
        <v>100</v>
      </c>
      <c r="F47" s="59">
        <v>2854.5999999999995</v>
      </c>
      <c r="G47" s="60">
        <v>4.38</v>
      </c>
      <c r="H47" s="61">
        <f>ROUND(G47*(1+$L$4),2)</f>
        <v>5.28</v>
      </c>
      <c r="I47" s="59">
        <f>TRUNC(F47*H47,2)</f>
        <v>15072.28</v>
      </c>
      <c r="AE47" s="53" t="s">
        <v>121</v>
      </c>
    </row>
    <row r="48" spans="1:31" s="12" customFormat="1" ht="33.75" x14ac:dyDescent="0.2">
      <c r="A48" s="55" t="s">
        <v>17</v>
      </c>
      <c r="B48" s="56" t="s">
        <v>53</v>
      </c>
      <c r="C48" s="56" t="s">
        <v>250</v>
      </c>
      <c r="D48" s="176" t="s">
        <v>251</v>
      </c>
      <c r="E48" s="58" t="s">
        <v>100</v>
      </c>
      <c r="F48" s="59">
        <v>2598.0799999999995</v>
      </c>
      <c r="G48" s="60">
        <v>42.1</v>
      </c>
      <c r="H48" s="61">
        <f>ROUND(G48*(1+$L$4),2)</f>
        <v>50.73</v>
      </c>
      <c r="I48" s="59">
        <f>TRUNC(F48*H48,2)</f>
        <v>131800.59</v>
      </c>
      <c r="AE48" s="53" t="s">
        <v>122</v>
      </c>
    </row>
    <row r="49" spans="1:31" s="12" customFormat="1" ht="33.75" x14ac:dyDescent="0.2">
      <c r="A49" s="55" t="s">
        <v>321</v>
      </c>
      <c r="B49" s="56" t="s">
        <v>53</v>
      </c>
      <c r="C49" s="56" t="s">
        <v>416</v>
      </c>
      <c r="D49" s="176" t="s">
        <v>417</v>
      </c>
      <c r="E49" s="58" t="s">
        <v>100</v>
      </c>
      <c r="F49" s="59">
        <v>102.76</v>
      </c>
      <c r="G49" s="60">
        <v>96.06</v>
      </c>
      <c r="H49" s="61">
        <f>ROUND(G49*(1+$L$4),2)</f>
        <v>115.75</v>
      </c>
      <c r="I49" s="59">
        <f>TRUNC(F49*H49,2)</f>
        <v>11894.47</v>
      </c>
      <c r="AE49" s="53" t="s">
        <v>123</v>
      </c>
    </row>
    <row r="50" spans="1:31" s="51" customFormat="1" x14ac:dyDescent="0.2">
      <c r="A50" s="41" t="s">
        <v>235</v>
      </c>
      <c r="B50" s="42"/>
      <c r="C50" s="42"/>
      <c r="D50" s="43" t="s">
        <v>38</v>
      </c>
      <c r="E50" s="44"/>
      <c r="F50" s="45"/>
      <c r="G50" s="46"/>
      <c r="H50" s="47"/>
      <c r="I50" s="48">
        <f>SUM(I51:I53)</f>
        <v>133147.27000000002</v>
      </c>
      <c r="J50" s="49" t="s">
        <v>98</v>
      </c>
      <c r="K50" s="50" t="s">
        <v>153</v>
      </c>
      <c r="AE50" s="52"/>
    </row>
    <row r="51" spans="1:31" s="12" customFormat="1" ht="22.5" x14ac:dyDescent="0.2">
      <c r="A51" s="55" t="s">
        <v>24</v>
      </c>
      <c r="B51" s="56" t="s">
        <v>53</v>
      </c>
      <c r="C51" s="56">
        <v>95241</v>
      </c>
      <c r="D51" s="176" t="s">
        <v>124</v>
      </c>
      <c r="E51" s="58" t="s">
        <v>100</v>
      </c>
      <c r="F51" s="59">
        <v>692.78000000000009</v>
      </c>
      <c r="G51" s="60">
        <v>31.77</v>
      </c>
      <c r="H51" s="61">
        <f>ROUND(G51*(1+$L$4),2)</f>
        <v>38.28</v>
      </c>
      <c r="I51" s="59">
        <f>TRUNC(F51*H51,2)</f>
        <v>26519.61</v>
      </c>
      <c r="AE51" s="53" t="s">
        <v>124</v>
      </c>
    </row>
    <row r="52" spans="1:31" s="12" customFormat="1" ht="45" x14ac:dyDescent="0.2">
      <c r="A52" s="55" t="s">
        <v>25</v>
      </c>
      <c r="B52" s="56" t="s">
        <v>53</v>
      </c>
      <c r="C52" s="56" t="s">
        <v>201</v>
      </c>
      <c r="D52" s="176" t="s">
        <v>202</v>
      </c>
      <c r="E52" s="58" t="s">
        <v>100</v>
      </c>
      <c r="F52" s="59">
        <v>692.78000000000009</v>
      </c>
      <c r="G52" s="60">
        <v>42.92</v>
      </c>
      <c r="H52" s="61">
        <f>ROUND(G52*(1+$L$4),2)</f>
        <v>51.72</v>
      </c>
      <c r="I52" s="59">
        <f>TRUNC(F52*H52,2)</f>
        <v>35830.58</v>
      </c>
      <c r="AE52" s="53" t="s">
        <v>125</v>
      </c>
    </row>
    <row r="53" spans="1:31" s="12" customFormat="1" ht="33.75" x14ac:dyDescent="0.2">
      <c r="A53" s="55" t="s">
        <v>322</v>
      </c>
      <c r="B53" s="56" t="s">
        <v>53</v>
      </c>
      <c r="C53" s="56" t="s">
        <v>453</v>
      </c>
      <c r="D53" s="176" t="s">
        <v>454</v>
      </c>
      <c r="E53" s="58" t="s">
        <v>100</v>
      </c>
      <c r="F53" s="59">
        <v>586.69999999999993</v>
      </c>
      <c r="G53" s="60">
        <v>100.14</v>
      </c>
      <c r="H53" s="61">
        <f>ROUND(G53*(1+$L$4),2)</f>
        <v>120.67</v>
      </c>
      <c r="I53" s="59">
        <f>TRUNC(F53*H53,2)</f>
        <v>70797.08</v>
      </c>
      <c r="AE53" s="53" t="s">
        <v>125</v>
      </c>
    </row>
    <row r="54" spans="1:31" s="51" customFormat="1" x14ac:dyDescent="0.2">
      <c r="A54" s="41" t="s">
        <v>236</v>
      </c>
      <c r="B54" s="42"/>
      <c r="C54" s="42"/>
      <c r="D54" s="43" t="s">
        <v>36</v>
      </c>
      <c r="E54" s="44"/>
      <c r="F54" s="45"/>
      <c r="G54" s="46"/>
      <c r="H54" s="47"/>
      <c r="I54" s="48">
        <f>SUM(I55:I59)</f>
        <v>163986.42999999996</v>
      </c>
      <c r="J54" s="49" t="s">
        <v>98</v>
      </c>
      <c r="K54" s="50" t="s">
        <v>153</v>
      </c>
      <c r="AE54" s="52"/>
    </row>
    <row r="55" spans="1:31" s="12" customFormat="1" ht="33.75" x14ac:dyDescent="0.2">
      <c r="A55" s="55" t="s">
        <v>26</v>
      </c>
      <c r="B55" s="178" t="s">
        <v>53</v>
      </c>
      <c r="C55" s="178" t="s">
        <v>364</v>
      </c>
      <c r="D55" s="176" t="s">
        <v>365</v>
      </c>
      <c r="E55" s="58" t="s">
        <v>100</v>
      </c>
      <c r="F55" s="59">
        <v>676.73</v>
      </c>
      <c r="G55" s="60">
        <v>91.72</v>
      </c>
      <c r="H55" s="61">
        <f>ROUND(G55*(1+$L$4),2)</f>
        <v>110.52</v>
      </c>
      <c r="I55" s="59">
        <f>TRUNC(F55*H55,2)</f>
        <v>74792.19</v>
      </c>
      <c r="AE55" s="53" t="s">
        <v>126</v>
      </c>
    </row>
    <row r="56" spans="1:31" s="12" customFormat="1" ht="22.5" x14ac:dyDescent="0.2">
      <c r="A56" s="55" t="s">
        <v>91</v>
      </c>
      <c r="B56" s="178" t="s">
        <v>53</v>
      </c>
      <c r="C56" s="178" t="s">
        <v>366</v>
      </c>
      <c r="D56" s="176" t="s">
        <v>367</v>
      </c>
      <c r="E56" s="58" t="s">
        <v>100</v>
      </c>
      <c r="F56" s="59">
        <v>676.73</v>
      </c>
      <c r="G56" s="60">
        <v>51.87</v>
      </c>
      <c r="H56" s="61">
        <f>ROUND(G56*(1+$L$4),2)</f>
        <v>62.5</v>
      </c>
      <c r="I56" s="59">
        <f>TRUNC(F56*H56,2)</f>
        <v>42295.62</v>
      </c>
      <c r="AE56" s="53" t="s">
        <v>127</v>
      </c>
    </row>
    <row r="57" spans="1:31" s="12" customFormat="1" x14ac:dyDescent="0.2">
      <c r="A57" s="55" t="s">
        <v>327</v>
      </c>
      <c r="B57" s="178" t="s">
        <v>53</v>
      </c>
      <c r="C57" s="178" t="s">
        <v>226</v>
      </c>
      <c r="D57" s="176" t="s">
        <v>227</v>
      </c>
      <c r="E57" s="58" t="s">
        <v>100</v>
      </c>
      <c r="F57" s="59">
        <v>406</v>
      </c>
      <c r="G57" s="60">
        <v>49.22</v>
      </c>
      <c r="H57" s="61">
        <f>ROUND(G57*(1+$L$4),2)</f>
        <v>59.31</v>
      </c>
      <c r="I57" s="59">
        <f>TRUNC(F57*H57,2)</f>
        <v>24079.86</v>
      </c>
      <c r="AE57" s="53" t="s">
        <v>128</v>
      </c>
    </row>
    <row r="58" spans="1:31" s="12" customFormat="1" ht="22.5" x14ac:dyDescent="0.2">
      <c r="A58" s="55" t="s">
        <v>403</v>
      </c>
      <c r="B58" s="178" t="s">
        <v>53</v>
      </c>
      <c r="C58" s="178" t="s">
        <v>368</v>
      </c>
      <c r="D58" s="176" t="s">
        <v>369</v>
      </c>
      <c r="E58" s="58" t="s">
        <v>97</v>
      </c>
      <c r="F58" s="59">
        <v>32</v>
      </c>
      <c r="G58" s="60">
        <v>35.840000000000003</v>
      </c>
      <c r="H58" s="61">
        <f>ROUND(G58*(1+$L$4),2)</f>
        <v>43.19</v>
      </c>
      <c r="I58" s="59">
        <f>TRUNC(F58*H58,2)</f>
        <v>1382.08</v>
      </c>
      <c r="AE58" s="53" t="s">
        <v>127</v>
      </c>
    </row>
    <row r="59" spans="1:31" s="12" customFormat="1" ht="22.5" x14ac:dyDescent="0.2">
      <c r="A59" s="55" t="s">
        <v>404</v>
      </c>
      <c r="B59" s="178" t="s">
        <v>53</v>
      </c>
      <c r="C59" s="178" t="s">
        <v>370</v>
      </c>
      <c r="D59" s="176" t="s">
        <v>371</v>
      </c>
      <c r="E59" s="58" t="s">
        <v>97</v>
      </c>
      <c r="F59" s="59">
        <v>112.14000000000001</v>
      </c>
      <c r="G59" s="60">
        <v>158.63999999999999</v>
      </c>
      <c r="H59" s="61">
        <f>ROUND(G59*(1+$L$4),2)</f>
        <v>191.16</v>
      </c>
      <c r="I59" s="59">
        <f>TRUNC(F59*H59,2)</f>
        <v>21436.68</v>
      </c>
      <c r="AE59" s="53" t="s">
        <v>128</v>
      </c>
    </row>
    <row r="60" spans="1:31" s="51" customFormat="1" x14ac:dyDescent="0.2">
      <c r="A60" s="41" t="s">
        <v>237</v>
      </c>
      <c r="B60" s="42"/>
      <c r="C60" s="42"/>
      <c r="D60" s="43" t="s">
        <v>39</v>
      </c>
      <c r="E60" s="44"/>
      <c r="F60" s="45"/>
      <c r="G60" s="46"/>
      <c r="H60" s="47"/>
      <c r="I60" s="48">
        <f>SUM(I61:I63)</f>
        <v>27695.879999999997</v>
      </c>
      <c r="J60" s="49" t="s">
        <v>98</v>
      </c>
      <c r="K60" s="50" t="s">
        <v>153</v>
      </c>
      <c r="AE60" s="52"/>
    </row>
    <row r="61" spans="1:31" s="12" customFormat="1" ht="33.75" x14ac:dyDescent="0.2">
      <c r="A61" s="55" t="s">
        <v>27</v>
      </c>
      <c r="B61" s="178" t="s">
        <v>53</v>
      </c>
      <c r="C61" s="178" t="s">
        <v>252</v>
      </c>
      <c r="D61" s="176" t="s">
        <v>253</v>
      </c>
      <c r="E61" s="58" t="s">
        <v>102</v>
      </c>
      <c r="F61" s="59">
        <v>14</v>
      </c>
      <c r="G61" s="60" t="s">
        <v>372</v>
      </c>
      <c r="H61" s="61">
        <f>ROUND(G61*(1+$L$4),2)</f>
        <v>972.28</v>
      </c>
      <c r="I61" s="59">
        <f>TRUNC(F61*H61,2)</f>
        <v>13611.92</v>
      </c>
      <c r="AE61" s="53" t="s">
        <v>129</v>
      </c>
    </row>
    <row r="62" spans="1:31" s="12" customFormat="1" ht="33.75" x14ac:dyDescent="0.2">
      <c r="A62" s="55" t="s">
        <v>27</v>
      </c>
      <c r="B62" s="178" t="s">
        <v>53</v>
      </c>
      <c r="C62" s="178" t="s">
        <v>373</v>
      </c>
      <c r="D62" s="176" t="s">
        <v>374</v>
      </c>
      <c r="E62" s="58" t="s">
        <v>102</v>
      </c>
      <c r="F62" s="59">
        <v>4</v>
      </c>
      <c r="G62" s="60" t="s">
        <v>375</v>
      </c>
      <c r="H62" s="61">
        <f>ROUND(G62*(1+$L$4),2)</f>
        <v>633.14</v>
      </c>
      <c r="I62" s="59">
        <f>TRUNC(F62*H62,2)</f>
        <v>2532.56</v>
      </c>
      <c r="AE62" s="53" t="s">
        <v>129</v>
      </c>
    </row>
    <row r="63" spans="1:31" s="12" customFormat="1" ht="33.75" x14ac:dyDescent="0.2">
      <c r="A63" s="55" t="s">
        <v>27</v>
      </c>
      <c r="B63" s="178" t="s">
        <v>53</v>
      </c>
      <c r="C63" s="178" t="s">
        <v>376</v>
      </c>
      <c r="D63" s="176" t="s">
        <v>377</v>
      </c>
      <c r="E63" s="58" t="s">
        <v>102</v>
      </c>
      <c r="F63" s="59">
        <v>34.64</v>
      </c>
      <c r="G63" s="60" t="s">
        <v>378</v>
      </c>
      <c r="H63" s="61">
        <f>ROUND(G63*(1+$L$4),2)</f>
        <v>333.47</v>
      </c>
      <c r="I63" s="59">
        <f>TRUNC(F63*H63,2)</f>
        <v>11551.4</v>
      </c>
      <c r="AE63" s="53" t="s">
        <v>129</v>
      </c>
    </row>
    <row r="64" spans="1:31" s="51" customFormat="1" x14ac:dyDescent="0.2">
      <c r="A64" s="41" t="s">
        <v>238</v>
      </c>
      <c r="B64" s="42"/>
      <c r="C64" s="42"/>
      <c r="D64" s="43" t="s">
        <v>40</v>
      </c>
      <c r="E64" s="44"/>
      <c r="F64" s="45"/>
      <c r="G64" s="46"/>
      <c r="H64" s="47"/>
      <c r="I64" s="48">
        <f>SUM(I65:I67)</f>
        <v>62446.37</v>
      </c>
      <c r="J64" s="49" t="s">
        <v>98</v>
      </c>
      <c r="K64" s="50" t="s">
        <v>153</v>
      </c>
      <c r="AE64" s="52"/>
    </row>
    <row r="65" spans="1:31" s="12" customFormat="1" ht="22.5" x14ac:dyDescent="0.2">
      <c r="A65" s="55" t="s">
        <v>28</v>
      </c>
      <c r="B65" s="56" t="s">
        <v>53</v>
      </c>
      <c r="C65" s="56" t="s">
        <v>107</v>
      </c>
      <c r="D65" s="176" t="s">
        <v>147</v>
      </c>
      <c r="E65" s="58" t="s">
        <v>100</v>
      </c>
      <c r="F65" s="59">
        <v>2901.3199999999997</v>
      </c>
      <c r="G65" s="60">
        <v>4.1900000000000004</v>
      </c>
      <c r="H65" s="61">
        <f>ROUND(G65*(1+$L$4),2)</f>
        <v>5.05</v>
      </c>
      <c r="I65" s="59">
        <f>TRUNC(F65*H65,2)</f>
        <v>14651.66</v>
      </c>
      <c r="AE65" s="53" t="s">
        <v>130</v>
      </c>
    </row>
    <row r="66" spans="1:31" s="12" customFormat="1" ht="22.5" x14ac:dyDescent="0.2">
      <c r="A66" s="55" t="s">
        <v>323</v>
      </c>
      <c r="B66" s="56" t="s">
        <v>53</v>
      </c>
      <c r="C66" s="56" t="s">
        <v>108</v>
      </c>
      <c r="D66" s="176" t="s">
        <v>148</v>
      </c>
      <c r="E66" s="58" t="s">
        <v>100</v>
      </c>
      <c r="F66" s="59">
        <v>2901.32</v>
      </c>
      <c r="G66" s="60">
        <v>13.33</v>
      </c>
      <c r="H66" s="61">
        <f>ROUND(G66*(1+$L$4),2)</f>
        <v>16.059999999999999</v>
      </c>
      <c r="I66" s="59">
        <f>TRUNC(F66*H66,2)</f>
        <v>46595.19</v>
      </c>
      <c r="AE66" s="53" t="s">
        <v>131</v>
      </c>
    </row>
    <row r="67" spans="1:31" s="12" customFormat="1" ht="22.5" x14ac:dyDescent="0.2">
      <c r="A67" s="55" t="s">
        <v>29</v>
      </c>
      <c r="B67" s="56" t="s">
        <v>53</v>
      </c>
      <c r="C67" s="56" t="s">
        <v>254</v>
      </c>
      <c r="D67" s="176" t="s">
        <v>255</v>
      </c>
      <c r="E67" s="58" t="s">
        <v>100</v>
      </c>
      <c r="F67" s="59">
        <v>63.000000000000007</v>
      </c>
      <c r="G67" s="60">
        <v>15.8</v>
      </c>
      <c r="H67" s="61">
        <f>ROUND(G67*(1+$L$4),2)</f>
        <v>19.04</v>
      </c>
      <c r="I67" s="59">
        <f>TRUNC(F67*H67,2)</f>
        <v>1199.52</v>
      </c>
      <c r="AE67" s="53" t="s">
        <v>132</v>
      </c>
    </row>
    <row r="68" spans="1:31" s="51" customFormat="1" x14ac:dyDescent="0.2">
      <c r="A68" s="41" t="s">
        <v>220</v>
      </c>
      <c r="B68" s="42"/>
      <c r="C68" s="42"/>
      <c r="D68" s="43" t="s">
        <v>41</v>
      </c>
      <c r="E68" s="44"/>
      <c r="F68" s="45"/>
      <c r="G68" s="46"/>
      <c r="H68" s="47"/>
      <c r="I68" s="48">
        <f>SUM(I69:I81)</f>
        <v>21421.68</v>
      </c>
      <c r="J68" s="49" t="s">
        <v>98</v>
      </c>
      <c r="K68" s="50" t="s">
        <v>153</v>
      </c>
      <c r="AE68" s="52"/>
    </row>
    <row r="69" spans="1:31" s="12" customFormat="1" ht="33.75" x14ac:dyDescent="0.2">
      <c r="A69" s="55" t="s">
        <v>30</v>
      </c>
      <c r="B69" s="56" t="s">
        <v>241</v>
      </c>
      <c r="C69" s="179" t="s">
        <v>154</v>
      </c>
      <c r="D69" s="176" t="s">
        <v>260</v>
      </c>
      <c r="E69" s="58" t="s">
        <v>102</v>
      </c>
      <c r="F69" s="59">
        <v>70</v>
      </c>
      <c r="G69" s="60">
        <f>'COMPOSIÇÕES PRÓPRIAS'!I69</f>
        <v>45.7</v>
      </c>
      <c r="H69" s="61">
        <f t="shared" ref="H69:H81" si="4">ROUND(G69*(1+$L$4),2)</f>
        <v>55.07</v>
      </c>
      <c r="I69" s="59">
        <f t="shared" ref="I69:I81" si="5">TRUNC(F69*H69,2)</f>
        <v>3854.9</v>
      </c>
      <c r="AE69" s="53" t="s">
        <v>133</v>
      </c>
    </row>
    <row r="70" spans="1:31" s="12" customFormat="1" ht="33.75" x14ac:dyDescent="0.2">
      <c r="A70" s="55" t="s">
        <v>31</v>
      </c>
      <c r="B70" s="56" t="s">
        <v>241</v>
      </c>
      <c r="C70" s="179" t="s">
        <v>157</v>
      </c>
      <c r="D70" s="176" t="s">
        <v>263</v>
      </c>
      <c r="E70" s="58" t="s">
        <v>102</v>
      </c>
      <c r="F70" s="59">
        <v>2</v>
      </c>
      <c r="G70" s="60">
        <f>'COMPOSIÇÕES PRÓPRIAS'!I87</f>
        <v>140.49</v>
      </c>
      <c r="H70" s="61">
        <f t="shared" si="4"/>
        <v>169.29</v>
      </c>
      <c r="I70" s="59">
        <f t="shared" si="5"/>
        <v>338.58</v>
      </c>
      <c r="AE70" s="53" t="s">
        <v>134</v>
      </c>
    </row>
    <row r="71" spans="1:31" s="12" customFormat="1" ht="33.75" x14ac:dyDescent="0.2">
      <c r="A71" s="55" t="s">
        <v>324</v>
      </c>
      <c r="B71" s="56" t="s">
        <v>241</v>
      </c>
      <c r="C71" s="179" t="s">
        <v>204</v>
      </c>
      <c r="D71" s="176" t="s">
        <v>381</v>
      </c>
      <c r="E71" s="58" t="s">
        <v>102</v>
      </c>
      <c r="F71" s="59">
        <v>11</v>
      </c>
      <c r="G71" s="60">
        <f>'COMPOSIÇÕES PRÓPRIAS'!I39</f>
        <v>156.30000000000001</v>
      </c>
      <c r="H71" s="61">
        <f t="shared" si="4"/>
        <v>188.34</v>
      </c>
      <c r="I71" s="59">
        <f t="shared" si="5"/>
        <v>2071.7399999999998</v>
      </c>
      <c r="AE71" s="53" t="s">
        <v>134</v>
      </c>
    </row>
    <row r="72" spans="1:31" s="12" customFormat="1" ht="45" x14ac:dyDescent="0.2">
      <c r="A72" s="55" t="s">
        <v>325</v>
      </c>
      <c r="B72" s="56" t="s">
        <v>241</v>
      </c>
      <c r="C72" s="179" t="s">
        <v>382</v>
      </c>
      <c r="D72" s="176" t="s">
        <v>383</v>
      </c>
      <c r="E72" s="58" t="s">
        <v>102</v>
      </c>
      <c r="F72" s="59">
        <v>46</v>
      </c>
      <c r="G72" s="60">
        <v>138.66999999999999</v>
      </c>
      <c r="H72" s="61">
        <f t="shared" si="4"/>
        <v>167.1</v>
      </c>
      <c r="I72" s="59">
        <f t="shared" si="5"/>
        <v>7686.6</v>
      </c>
      <c r="AE72" s="53" t="s">
        <v>133</v>
      </c>
    </row>
    <row r="73" spans="1:31" s="12" customFormat="1" ht="45" x14ac:dyDescent="0.2">
      <c r="A73" s="55" t="s">
        <v>406</v>
      </c>
      <c r="B73" s="56" t="s">
        <v>241</v>
      </c>
      <c r="C73" s="179" t="s">
        <v>384</v>
      </c>
      <c r="D73" s="176" t="s">
        <v>385</v>
      </c>
      <c r="E73" s="58" t="s">
        <v>102</v>
      </c>
      <c r="F73" s="59">
        <v>8</v>
      </c>
      <c r="G73" s="60">
        <v>178.23</v>
      </c>
      <c r="H73" s="61">
        <f t="shared" si="4"/>
        <v>214.77</v>
      </c>
      <c r="I73" s="59">
        <f t="shared" si="5"/>
        <v>1718.16</v>
      </c>
      <c r="AE73" s="53" t="s">
        <v>133</v>
      </c>
    </row>
    <row r="74" spans="1:31" s="12" customFormat="1" ht="22.5" x14ac:dyDescent="0.2">
      <c r="A74" s="55" t="s">
        <v>407</v>
      </c>
      <c r="B74" s="56" t="s">
        <v>53</v>
      </c>
      <c r="C74" s="56" t="s">
        <v>332</v>
      </c>
      <c r="D74" s="176" t="s">
        <v>333</v>
      </c>
      <c r="E74" s="58" t="s">
        <v>102</v>
      </c>
      <c r="F74" s="59">
        <v>65</v>
      </c>
      <c r="G74" s="60">
        <v>41.01</v>
      </c>
      <c r="H74" s="61">
        <f t="shared" si="4"/>
        <v>49.42</v>
      </c>
      <c r="I74" s="59">
        <f t="shared" si="5"/>
        <v>3212.3</v>
      </c>
      <c r="AE74" s="53" t="s">
        <v>135</v>
      </c>
    </row>
    <row r="75" spans="1:31" s="12" customFormat="1" x14ac:dyDescent="0.2">
      <c r="A75" s="55" t="s">
        <v>408</v>
      </c>
      <c r="B75" s="56" t="s">
        <v>53</v>
      </c>
      <c r="C75" s="56">
        <v>39391</v>
      </c>
      <c r="D75" s="176" t="s">
        <v>386</v>
      </c>
      <c r="E75" s="58" t="s">
        <v>189</v>
      </c>
      <c r="F75" s="59">
        <v>5</v>
      </c>
      <c r="G75" s="60">
        <v>57.96</v>
      </c>
      <c r="H75" s="61">
        <f t="shared" si="4"/>
        <v>69.84</v>
      </c>
      <c r="I75" s="59">
        <f t="shared" si="5"/>
        <v>349.2</v>
      </c>
      <c r="AE75" s="53" t="s">
        <v>135</v>
      </c>
    </row>
    <row r="76" spans="1:31" s="12" customFormat="1" ht="33.75" x14ac:dyDescent="0.2">
      <c r="A76" s="55" t="s">
        <v>409</v>
      </c>
      <c r="B76" s="56" t="s">
        <v>53</v>
      </c>
      <c r="C76" s="56" t="s">
        <v>387</v>
      </c>
      <c r="D76" s="176" t="s">
        <v>388</v>
      </c>
      <c r="E76" s="58" t="s">
        <v>102</v>
      </c>
      <c r="F76" s="59">
        <v>1</v>
      </c>
      <c r="G76" s="60">
        <v>658.93</v>
      </c>
      <c r="H76" s="61">
        <f t="shared" si="4"/>
        <v>794.01</v>
      </c>
      <c r="I76" s="59">
        <f t="shared" si="5"/>
        <v>794.01</v>
      </c>
      <c r="AE76" s="53" t="s">
        <v>135</v>
      </c>
    </row>
    <row r="77" spans="1:31" s="12" customFormat="1" ht="22.5" x14ac:dyDescent="0.2">
      <c r="A77" s="55" t="s">
        <v>410</v>
      </c>
      <c r="B77" s="56" t="s">
        <v>53</v>
      </c>
      <c r="C77" s="56" t="s">
        <v>224</v>
      </c>
      <c r="D77" s="176" t="s">
        <v>225</v>
      </c>
      <c r="E77" s="58" t="s">
        <v>102</v>
      </c>
      <c r="F77" s="59">
        <v>28</v>
      </c>
      <c r="G77" s="60">
        <v>18.48</v>
      </c>
      <c r="H77" s="61">
        <f t="shared" si="4"/>
        <v>22.27</v>
      </c>
      <c r="I77" s="59">
        <f t="shared" si="5"/>
        <v>623.55999999999995</v>
      </c>
      <c r="AE77" s="53" t="s">
        <v>136</v>
      </c>
    </row>
    <row r="78" spans="1:31" s="12" customFormat="1" ht="22.5" x14ac:dyDescent="0.2">
      <c r="A78" s="55" t="s">
        <v>411</v>
      </c>
      <c r="B78" s="56" t="s">
        <v>53</v>
      </c>
      <c r="C78" s="56" t="s">
        <v>393</v>
      </c>
      <c r="D78" s="176" t="s">
        <v>394</v>
      </c>
      <c r="E78" s="58" t="s">
        <v>102</v>
      </c>
      <c r="F78" s="59">
        <v>2</v>
      </c>
      <c r="G78" s="60">
        <v>153.12</v>
      </c>
      <c r="H78" s="61">
        <f t="shared" si="4"/>
        <v>184.51</v>
      </c>
      <c r="I78" s="59">
        <f t="shared" si="5"/>
        <v>369.02</v>
      </c>
      <c r="AE78" s="53" t="s">
        <v>135</v>
      </c>
    </row>
    <row r="79" spans="1:31" s="12" customFormat="1" x14ac:dyDescent="0.2">
      <c r="A79" s="55" t="s">
        <v>412</v>
      </c>
      <c r="B79" s="56" t="s">
        <v>53</v>
      </c>
      <c r="C79" s="56">
        <v>39446</v>
      </c>
      <c r="D79" s="176" t="s">
        <v>395</v>
      </c>
      <c r="E79" s="58" t="s">
        <v>189</v>
      </c>
      <c r="F79" s="59">
        <v>1</v>
      </c>
      <c r="G79" s="60">
        <v>162.75</v>
      </c>
      <c r="H79" s="61">
        <f t="shared" si="4"/>
        <v>196.11</v>
      </c>
      <c r="I79" s="59">
        <f t="shared" si="5"/>
        <v>196.11</v>
      </c>
      <c r="AE79" s="53" t="s">
        <v>135</v>
      </c>
    </row>
    <row r="80" spans="1:31" s="12" customFormat="1" ht="22.5" x14ac:dyDescent="0.2">
      <c r="A80" s="55" t="s">
        <v>413</v>
      </c>
      <c r="B80" s="56" t="s">
        <v>53</v>
      </c>
      <c r="C80" s="56" t="s">
        <v>396</v>
      </c>
      <c r="D80" s="176" t="s">
        <v>397</v>
      </c>
      <c r="E80" s="58" t="s">
        <v>102</v>
      </c>
      <c r="F80" s="59">
        <v>1</v>
      </c>
      <c r="G80" s="60">
        <v>24.35</v>
      </c>
      <c r="H80" s="61">
        <f t="shared" si="4"/>
        <v>29.34</v>
      </c>
      <c r="I80" s="59">
        <f t="shared" si="5"/>
        <v>29.34</v>
      </c>
      <c r="AE80" s="53" t="s">
        <v>136</v>
      </c>
    </row>
    <row r="81" spans="1:31" s="12" customFormat="1" ht="22.5" x14ac:dyDescent="0.2">
      <c r="A81" s="55" t="s">
        <v>414</v>
      </c>
      <c r="B81" s="56" t="s">
        <v>53</v>
      </c>
      <c r="C81" s="56" t="s">
        <v>398</v>
      </c>
      <c r="D81" s="176" t="s">
        <v>399</v>
      </c>
      <c r="E81" s="58" t="s">
        <v>102</v>
      </c>
      <c r="F81" s="59">
        <v>8</v>
      </c>
      <c r="G81" s="60">
        <v>18.48</v>
      </c>
      <c r="H81" s="61">
        <f t="shared" si="4"/>
        <v>22.27</v>
      </c>
      <c r="I81" s="59">
        <f t="shared" si="5"/>
        <v>178.16</v>
      </c>
      <c r="AE81" s="53" t="s">
        <v>136</v>
      </c>
    </row>
    <row r="82" spans="1:31" s="51" customFormat="1" x14ac:dyDescent="0.2">
      <c r="A82" s="41" t="s">
        <v>239</v>
      </c>
      <c r="B82" s="42"/>
      <c r="C82" s="42"/>
      <c r="D82" s="43" t="s">
        <v>44</v>
      </c>
      <c r="E82" s="44"/>
      <c r="F82" s="45"/>
      <c r="G82" s="54"/>
      <c r="H82" s="47"/>
      <c r="I82" s="48">
        <f>SUM(I83:I90)</f>
        <v>10289.719999999999</v>
      </c>
      <c r="J82" s="49" t="s">
        <v>98</v>
      </c>
      <c r="K82" s="50" t="s">
        <v>153</v>
      </c>
      <c r="AE82" s="52"/>
    </row>
    <row r="83" spans="1:31" s="12" customFormat="1" ht="33.75" x14ac:dyDescent="0.2">
      <c r="A83" s="55" t="s">
        <v>32</v>
      </c>
      <c r="B83" s="56" t="s">
        <v>53</v>
      </c>
      <c r="C83" s="56" t="s">
        <v>109</v>
      </c>
      <c r="D83" s="176" t="s">
        <v>149</v>
      </c>
      <c r="E83" s="58" t="s">
        <v>102</v>
      </c>
      <c r="F83" s="59">
        <v>10</v>
      </c>
      <c r="G83" s="60">
        <v>133.61000000000001</v>
      </c>
      <c r="H83" s="61">
        <f t="shared" ref="H83:H90" si="6">ROUND(G83*(1+$L$4),2)</f>
        <v>161</v>
      </c>
      <c r="I83" s="59">
        <f t="shared" ref="I83:I90" si="7">TRUNC(F83*H83,2)</f>
        <v>1610</v>
      </c>
      <c r="AE83" s="53" t="s">
        <v>137</v>
      </c>
    </row>
    <row r="84" spans="1:31" s="12" customFormat="1" ht="22.5" x14ac:dyDescent="0.2">
      <c r="A84" s="55" t="s">
        <v>326</v>
      </c>
      <c r="B84" s="56" t="s">
        <v>241</v>
      </c>
      <c r="C84" s="179" t="s">
        <v>299</v>
      </c>
      <c r="D84" s="176" t="s">
        <v>264</v>
      </c>
      <c r="E84" s="58" t="s">
        <v>102</v>
      </c>
      <c r="F84" s="59">
        <v>6</v>
      </c>
      <c r="G84" s="60">
        <f>'COMPOSIÇÕES PRÓPRIAS'!I105</f>
        <v>126.19</v>
      </c>
      <c r="H84" s="61">
        <f t="shared" si="6"/>
        <v>152.06</v>
      </c>
      <c r="I84" s="59">
        <f t="shared" si="7"/>
        <v>912.36</v>
      </c>
      <c r="AE84" s="53" t="s">
        <v>138</v>
      </c>
    </row>
    <row r="85" spans="1:31" s="12" customFormat="1" ht="22.5" x14ac:dyDescent="0.2">
      <c r="A85" s="55" t="s">
        <v>33</v>
      </c>
      <c r="B85" s="56" t="s">
        <v>241</v>
      </c>
      <c r="C85" s="179" t="s">
        <v>300</v>
      </c>
      <c r="D85" s="176" t="s">
        <v>284</v>
      </c>
      <c r="E85" s="58" t="s">
        <v>102</v>
      </c>
      <c r="F85" s="59">
        <v>4</v>
      </c>
      <c r="G85" s="60">
        <f>'COMPOSIÇÕES PRÓPRIAS'!I125</f>
        <v>79.55</v>
      </c>
      <c r="H85" s="61">
        <f t="shared" si="6"/>
        <v>95.86</v>
      </c>
      <c r="I85" s="59">
        <f t="shared" si="7"/>
        <v>383.44</v>
      </c>
      <c r="AE85" s="53" t="s">
        <v>139</v>
      </c>
    </row>
    <row r="86" spans="1:31" s="12" customFormat="1" ht="22.5" x14ac:dyDescent="0.2">
      <c r="A86" s="55" t="s">
        <v>158</v>
      </c>
      <c r="B86" s="56" t="s">
        <v>53</v>
      </c>
      <c r="C86" s="56" t="s">
        <v>110</v>
      </c>
      <c r="D86" s="176" t="s">
        <v>159</v>
      </c>
      <c r="E86" s="58" t="s">
        <v>102</v>
      </c>
      <c r="F86" s="59">
        <v>6</v>
      </c>
      <c r="G86" s="60">
        <v>473.09</v>
      </c>
      <c r="H86" s="61">
        <f t="shared" si="6"/>
        <v>570.07000000000005</v>
      </c>
      <c r="I86" s="59">
        <f t="shared" si="7"/>
        <v>3420.42</v>
      </c>
      <c r="AE86" s="53" t="s">
        <v>140</v>
      </c>
    </row>
    <row r="87" spans="1:31" s="12" customFormat="1" ht="45" x14ac:dyDescent="0.2">
      <c r="A87" s="55" t="s">
        <v>328</v>
      </c>
      <c r="B87" s="56" t="s">
        <v>53</v>
      </c>
      <c r="C87" s="56" t="s">
        <v>160</v>
      </c>
      <c r="D87" s="176" t="s">
        <v>301</v>
      </c>
      <c r="E87" s="58" t="s">
        <v>102</v>
      </c>
      <c r="F87" s="59">
        <v>4</v>
      </c>
      <c r="G87" s="60">
        <v>257.58</v>
      </c>
      <c r="H87" s="61">
        <f t="shared" si="6"/>
        <v>310.38</v>
      </c>
      <c r="I87" s="59">
        <f t="shared" si="7"/>
        <v>1241.52</v>
      </c>
      <c r="AE87" s="53" t="s">
        <v>141</v>
      </c>
    </row>
    <row r="88" spans="1:31" s="12" customFormat="1" ht="22.5" x14ac:dyDescent="0.2">
      <c r="A88" s="55" t="s">
        <v>329</v>
      </c>
      <c r="B88" s="56" t="s">
        <v>53</v>
      </c>
      <c r="C88" s="56" t="s">
        <v>111</v>
      </c>
      <c r="D88" s="176" t="s">
        <v>150</v>
      </c>
      <c r="E88" s="58" t="s">
        <v>102</v>
      </c>
      <c r="F88" s="59">
        <v>2</v>
      </c>
      <c r="G88" s="60">
        <v>40.15</v>
      </c>
      <c r="H88" s="61">
        <f t="shared" si="6"/>
        <v>48.38</v>
      </c>
      <c r="I88" s="59">
        <f t="shared" si="7"/>
        <v>96.76</v>
      </c>
      <c r="AE88" s="53" t="s">
        <v>142</v>
      </c>
    </row>
    <row r="89" spans="1:31" s="12" customFormat="1" ht="22.5" x14ac:dyDescent="0.2">
      <c r="A89" s="55" t="s">
        <v>161</v>
      </c>
      <c r="B89" s="56" t="s">
        <v>53</v>
      </c>
      <c r="C89" s="56" t="s">
        <v>112</v>
      </c>
      <c r="D89" s="176" t="s">
        <v>151</v>
      </c>
      <c r="E89" s="58" t="s">
        <v>43</v>
      </c>
      <c r="F89" s="59">
        <v>6</v>
      </c>
      <c r="G89" s="60">
        <v>89.14</v>
      </c>
      <c r="H89" s="61">
        <f t="shared" si="6"/>
        <v>107.41</v>
      </c>
      <c r="I89" s="59">
        <f t="shared" si="7"/>
        <v>644.46</v>
      </c>
      <c r="AE89" s="53" t="s">
        <v>143</v>
      </c>
    </row>
    <row r="90" spans="1:31" s="12" customFormat="1" ht="22.5" x14ac:dyDescent="0.2">
      <c r="A90" s="55" t="s">
        <v>162</v>
      </c>
      <c r="B90" s="56" t="s">
        <v>53</v>
      </c>
      <c r="C90" s="56" t="s">
        <v>389</v>
      </c>
      <c r="D90" s="176" t="s">
        <v>390</v>
      </c>
      <c r="E90" s="58" t="s">
        <v>43</v>
      </c>
      <c r="F90" s="59">
        <v>2</v>
      </c>
      <c r="G90" s="60">
        <v>821.89</v>
      </c>
      <c r="H90" s="61">
        <f t="shared" si="6"/>
        <v>990.38</v>
      </c>
      <c r="I90" s="59">
        <f t="shared" si="7"/>
        <v>1980.76</v>
      </c>
      <c r="AE90" s="53" t="s">
        <v>143</v>
      </c>
    </row>
    <row r="91" spans="1:31" s="51" customFormat="1" x14ac:dyDescent="0.2">
      <c r="A91" s="41" t="s">
        <v>240</v>
      </c>
      <c r="B91" s="42"/>
      <c r="C91" s="42"/>
      <c r="D91" s="43" t="s">
        <v>42</v>
      </c>
      <c r="E91" s="44"/>
      <c r="F91" s="45"/>
      <c r="G91" s="46"/>
      <c r="H91" s="47"/>
      <c r="I91" s="48">
        <f>SUM(I92:I94)</f>
        <v>7384.04</v>
      </c>
      <c r="J91" s="49" t="s">
        <v>98</v>
      </c>
      <c r="K91" s="50" t="s">
        <v>153</v>
      </c>
      <c r="AE91" s="52"/>
    </row>
    <row r="92" spans="1:31" s="12" customFormat="1" ht="22.5" x14ac:dyDescent="0.2">
      <c r="A92" s="55" t="s">
        <v>101</v>
      </c>
      <c r="B92" s="56" t="s">
        <v>318</v>
      </c>
      <c r="C92" s="56" t="s">
        <v>391</v>
      </c>
      <c r="D92" s="176" t="s">
        <v>392</v>
      </c>
      <c r="E92" s="58" t="s">
        <v>102</v>
      </c>
      <c r="F92" s="59">
        <v>4</v>
      </c>
      <c r="G92" s="60">
        <v>381.92</v>
      </c>
      <c r="H92" s="61">
        <f>ROUND(G92*(1+$L$4),2)</f>
        <v>460.21</v>
      </c>
      <c r="I92" s="59">
        <f>TRUNC(F92*H92,2)</f>
        <v>1840.84</v>
      </c>
      <c r="AE92" s="53" t="s">
        <v>144</v>
      </c>
    </row>
    <row r="93" spans="1:31" s="12" customFormat="1" ht="33.75" x14ac:dyDescent="0.2">
      <c r="A93" s="55" t="s">
        <v>330</v>
      </c>
      <c r="B93" s="56" t="s">
        <v>241</v>
      </c>
      <c r="C93" s="175" t="s">
        <v>319</v>
      </c>
      <c r="D93" s="176" t="s">
        <v>302</v>
      </c>
      <c r="E93" s="58" t="s">
        <v>97</v>
      </c>
      <c r="F93" s="59">
        <v>20</v>
      </c>
      <c r="G93" s="60">
        <f>'COMPOSIÇÕES PRÓPRIAS'!I143</f>
        <v>230.01</v>
      </c>
      <c r="H93" s="61">
        <f>ROUND(G93*(1+$L$4),2)</f>
        <v>277.16000000000003</v>
      </c>
      <c r="I93" s="59">
        <f>TRUNC(F93*H93,2)</f>
        <v>5543.2</v>
      </c>
      <c r="AE93" s="53" t="s">
        <v>144</v>
      </c>
    </row>
    <row r="94" spans="1:31" s="12" customFormat="1" x14ac:dyDescent="0.2">
      <c r="A94" s="55"/>
      <c r="B94" s="56"/>
      <c r="C94" s="56"/>
      <c r="D94" s="79" t="str">
        <f>"Total item "&amp;A93</f>
        <v>Total item 13.2</v>
      </c>
      <c r="E94" s="78"/>
      <c r="F94" s="59"/>
      <c r="G94" s="60"/>
      <c r="H94" s="61"/>
      <c r="I94" s="59"/>
    </row>
    <row r="95" spans="1:31" s="12" customFormat="1" ht="12" thickBot="1" x14ac:dyDescent="0.25">
      <c r="A95" s="55"/>
      <c r="B95" s="56"/>
      <c r="C95" s="56"/>
      <c r="D95" s="57"/>
      <c r="E95" s="58"/>
      <c r="F95" s="59"/>
      <c r="G95" s="60"/>
      <c r="H95" s="61"/>
      <c r="I95" s="59"/>
    </row>
    <row r="96" spans="1:31" s="67" customFormat="1" ht="16.5" thickBot="1" x14ac:dyDescent="0.25">
      <c r="A96" s="256" t="s">
        <v>18</v>
      </c>
      <c r="B96" s="257"/>
      <c r="C96" s="257"/>
      <c r="D96" s="257"/>
      <c r="E96" s="257"/>
      <c r="F96" s="258"/>
      <c r="G96" s="62"/>
      <c r="H96" s="63"/>
      <c r="I96" s="64">
        <f>I10+I14+I16+I20+I31+I45+I50+I54+I60+I64+I68+I82+I91</f>
        <v>1202027.6499999999</v>
      </c>
      <c r="J96" s="65" t="s">
        <v>98</v>
      </c>
      <c r="K96" s="66">
        <f>I96/$I$96</f>
        <v>1</v>
      </c>
      <c r="AE96" s="81"/>
    </row>
    <row r="97" spans="7:31" x14ac:dyDescent="0.2">
      <c r="G97" s="69"/>
      <c r="I97" s="70">
        <v>676.73</v>
      </c>
      <c r="AE97" s="71" t="str">
        <f>UPPER(D97)</f>
        <v/>
      </c>
    </row>
    <row r="99" spans="7:31" ht="15" x14ac:dyDescent="0.2">
      <c r="I99" s="73">
        <f>SUM(I9:I94)/2</f>
        <v>1202027.6500000001</v>
      </c>
    </row>
    <row r="101" spans="7:31" x14ac:dyDescent="0.2">
      <c r="H101" s="68" t="s">
        <v>405</v>
      </c>
      <c r="I101" s="72">
        <f>I96/I97</f>
        <v>1776.2292938099388</v>
      </c>
    </row>
    <row r="103" spans="7:31" x14ac:dyDescent="0.2">
      <c r="H103" s="68" t="s">
        <v>475</v>
      </c>
      <c r="I103" s="72">
        <v>820000</v>
      </c>
    </row>
    <row r="104" spans="7:31" x14ac:dyDescent="0.2">
      <c r="I104" s="72">
        <f>I99-I103</f>
        <v>382027.65000000014</v>
      </c>
    </row>
  </sheetData>
  <autoFilter ref="A9:I96" xr:uid="{00000000-0009-0000-0000-000000000000}"/>
  <mergeCells count="3">
    <mergeCell ref="A1:I1"/>
    <mergeCell ref="G7:I7"/>
    <mergeCell ref="A96:F96"/>
  </mergeCells>
  <printOptions horizontalCentered="1"/>
  <pageMargins left="0.59055118110236227" right="0.39370078740157483" top="1.3779527559055118" bottom="0.78740157480314965" header="0.39370078740157483" footer="0.39370078740157483"/>
  <pageSetup paperSize="9" scale="70" fitToHeight="0" orientation="portrait" r:id="rId1"/>
  <headerFooter>
    <oddHeader>&amp;C&amp;G</oddHeader>
    <oddFooter>&amp;C&amp;G&amp;R&amp;"Arial,Normal"&amp;8Pág.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R60"/>
  <sheetViews>
    <sheetView view="pageBreakPreview" topLeftCell="A8" zoomScaleSheetLayoutView="100" workbookViewId="0">
      <pane ySplit="825" topLeftCell="A10" activePane="bottomLeft"/>
      <selection activeCell="O8" sqref="D1:O1048576"/>
      <selection pane="bottomLeft" activeCell="F61" sqref="F61"/>
    </sheetView>
  </sheetViews>
  <sheetFormatPr defaultRowHeight="11.25" x14ac:dyDescent="0.2"/>
  <cols>
    <col min="1" max="1" width="5.7109375" style="82" customWidth="1"/>
    <col min="2" max="2" width="33.7109375" style="82" customWidth="1"/>
    <col min="3" max="3" width="10.42578125" style="82" customWidth="1"/>
    <col min="4" max="15" width="11" style="82" customWidth="1"/>
    <col min="16" max="16" width="4" style="82" customWidth="1"/>
    <col min="17" max="17" width="10" style="82" bestFit="1" customWidth="1"/>
    <col min="18" max="18" width="10.42578125" style="82" customWidth="1"/>
    <col min="19" max="16384" width="9.140625" style="82"/>
  </cols>
  <sheetData>
    <row r="1" spans="1:17" ht="18.75" x14ac:dyDescent="0.3">
      <c r="A1" s="261" t="s">
        <v>19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7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20" customFormat="1" ht="12.75" x14ac:dyDescent="0.2">
      <c r="A3" s="16"/>
      <c r="B3" s="267" t="e">
        <f>#REF!</f>
        <v>#REF!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7" s="20" customFormat="1" ht="12.75" x14ac:dyDescent="0.2">
      <c r="A4" s="16"/>
      <c r="B4" s="17" t="e">
        <f>#REF!</f>
        <v>#REF!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7" s="20" customFormat="1" ht="12.75" x14ac:dyDescent="0.2">
      <c r="A5" s="16"/>
      <c r="B5" s="24" t="e">
        <f>#REF!</f>
        <v>#REF!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7" x14ac:dyDescent="0.2">
      <c r="A6" s="8"/>
      <c r="B6" s="8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7" s="84" customFormat="1" x14ac:dyDescent="0.2">
      <c r="A7" s="262" t="s">
        <v>20</v>
      </c>
      <c r="B7" s="262" t="s">
        <v>21</v>
      </c>
      <c r="C7" s="263" t="s">
        <v>23</v>
      </c>
      <c r="D7" s="264" t="s">
        <v>22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</row>
    <row r="8" spans="1:17" s="84" customFormat="1" x14ac:dyDescent="0.2">
      <c r="A8" s="262"/>
      <c r="B8" s="262"/>
      <c r="C8" s="263"/>
      <c r="D8" s="83" t="s">
        <v>47</v>
      </c>
      <c r="E8" s="83" t="s">
        <v>48</v>
      </c>
      <c r="F8" s="83" t="s">
        <v>49</v>
      </c>
      <c r="G8" s="83" t="s">
        <v>466</v>
      </c>
      <c r="H8" s="83" t="s">
        <v>467</v>
      </c>
      <c r="I8" s="83" t="s">
        <v>468</v>
      </c>
      <c r="J8" s="83" t="s">
        <v>469</v>
      </c>
      <c r="K8" s="83" t="s">
        <v>470</v>
      </c>
      <c r="L8" s="83" t="s">
        <v>471</v>
      </c>
      <c r="M8" s="83" t="s">
        <v>472</v>
      </c>
      <c r="N8" s="83" t="s">
        <v>473</v>
      </c>
      <c r="O8" s="83" t="s">
        <v>474</v>
      </c>
    </row>
    <row r="9" spans="1:17" s="40" customFormat="1" x14ac:dyDescent="0.2">
      <c r="A9" s="85"/>
      <c r="B9" s="86"/>
      <c r="C9" s="87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7" s="12" customFormat="1" x14ac:dyDescent="0.2">
      <c r="A10" s="90" t="s">
        <v>163</v>
      </c>
      <c r="B10" s="91" t="str">
        <f>ORÇAMENTO!D10</f>
        <v>SERVIÇOS PRELIMINARES</v>
      </c>
      <c r="C10" s="92">
        <f>ORÇAMENTO!I10</f>
        <v>40160.18</v>
      </c>
      <c r="D10" s="93">
        <f>ROUND($C10*D11,2)</f>
        <v>40160.18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Q10" s="95">
        <f>C10-SUM(D10:O10)</f>
        <v>0</v>
      </c>
    </row>
    <row r="11" spans="1:17" s="12" customFormat="1" x14ac:dyDescent="0.2">
      <c r="A11" s="85"/>
      <c r="B11" s="86"/>
      <c r="C11" s="96">
        <f>C10/$C$49</f>
        <v>3.3410362898058127E-2</v>
      </c>
      <c r="D11" s="97">
        <v>1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7" s="103" customFormat="1" ht="8.25" x14ac:dyDescent="0.15">
      <c r="A12" s="98"/>
      <c r="B12" s="99"/>
      <c r="C12" s="100"/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7" s="12" customFormat="1" x14ac:dyDescent="0.2">
      <c r="A13" s="90" t="s">
        <v>164</v>
      </c>
      <c r="B13" s="91" t="str">
        <f>ORÇAMENTO!D14</f>
        <v>ADMINISTRAÇÃO</v>
      </c>
      <c r="C13" s="92">
        <f>ORÇAMENTO!I14</f>
        <v>51335.58</v>
      </c>
      <c r="D13" s="93">
        <f>ROUND($C13*D14,2)</f>
        <v>4277.97</v>
      </c>
      <c r="E13" s="93">
        <f t="shared" ref="E13:N13" si="0">ROUND($C13*E14,2)</f>
        <v>4277.97</v>
      </c>
      <c r="F13" s="93">
        <f t="shared" si="0"/>
        <v>4277.97</v>
      </c>
      <c r="G13" s="93">
        <f t="shared" si="0"/>
        <v>4277.97</v>
      </c>
      <c r="H13" s="93">
        <f t="shared" si="0"/>
        <v>4277.97</v>
      </c>
      <c r="I13" s="93">
        <f t="shared" si="0"/>
        <v>4277.97</v>
      </c>
      <c r="J13" s="93">
        <f t="shared" si="0"/>
        <v>4277.97</v>
      </c>
      <c r="K13" s="93">
        <f t="shared" si="0"/>
        <v>4277.97</v>
      </c>
      <c r="L13" s="93">
        <f t="shared" si="0"/>
        <v>4277.97</v>
      </c>
      <c r="M13" s="93">
        <f t="shared" si="0"/>
        <v>4277.97</v>
      </c>
      <c r="N13" s="93">
        <f t="shared" si="0"/>
        <v>4277.97</v>
      </c>
      <c r="O13" s="93">
        <f>ROUND($C13*O14,2)-0.06</f>
        <v>4277.91</v>
      </c>
      <c r="Q13" s="95">
        <f>C13-SUM(D13:O13)</f>
        <v>0</v>
      </c>
    </row>
    <row r="14" spans="1:17" s="12" customFormat="1" x14ac:dyDescent="0.2">
      <c r="A14" s="85"/>
      <c r="B14" s="86"/>
      <c r="C14" s="96">
        <f>C13/$C$49</f>
        <v>4.2707486803652148E-2</v>
      </c>
      <c r="D14" s="97">
        <f>100%/12</f>
        <v>8.3333333333333329E-2</v>
      </c>
      <c r="E14" s="97">
        <f t="shared" ref="E14:O14" si="1">100%/12</f>
        <v>8.3333333333333329E-2</v>
      </c>
      <c r="F14" s="97">
        <f t="shared" si="1"/>
        <v>8.3333333333333329E-2</v>
      </c>
      <c r="G14" s="97">
        <f t="shared" si="1"/>
        <v>8.3333333333333329E-2</v>
      </c>
      <c r="H14" s="97">
        <f t="shared" si="1"/>
        <v>8.3333333333333329E-2</v>
      </c>
      <c r="I14" s="97">
        <f t="shared" si="1"/>
        <v>8.3333333333333329E-2</v>
      </c>
      <c r="J14" s="97">
        <f t="shared" si="1"/>
        <v>8.3333333333333329E-2</v>
      </c>
      <c r="K14" s="97">
        <f t="shared" si="1"/>
        <v>8.3333333333333329E-2</v>
      </c>
      <c r="L14" s="97">
        <f t="shared" si="1"/>
        <v>8.3333333333333329E-2</v>
      </c>
      <c r="M14" s="97">
        <f t="shared" si="1"/>
        <v>8.3333333333333329E-2</v>
      </c>
      <c r="N14" s="97">
        <f t="shared" si="1"/>
        <v>8.3333333333333329E-2</v>
      </c>
      <c r="O14" s="97">
        <f t="shared" si="1"/>
        <v>8.3333333333333329E-2</v>
      </c>
    </row>
    <row r="15" spans="1:17" s="103" customFormat="1" ht="8.25" x14ac:dyDescent="0.15">
      <c r="A15" s="98"/>
      <c r="B15" s="105"/>
      <c r="C15" s="100"/>
      <c r="D15" s="106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7" s="12" customFormat="1" x14ac:dyDescent="0.2">
      <c r="A16" s="90" t="s">
        <v>165</v>
      </c>
      <c r="B16" s="91" t="str">
        <f>ORÇAMENTO!D16</f>
        <v>TRABALHOS EM TERRA</v>
      </c>
      <c r="C16" s="92">
        <f>ORÇAMENTO!I16</f>
        <v>30310.449999999997</v>
      </c>
      <c r="D16" s="93">
        <f>ROUND($C16*D17,2)</f>
        <v>30310.45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Q16" s="95">
        <f>C16-SUM(D16:O16)</f>
        <v>0</v>
      </c>
    </row>
    <row r="17" spans="1:17" s="12" customFormat="1" x14ac:dyDescent="0.2">
      <c r="A17" s="85"/>
      <c r="B17" s="86"/>
      <c r="C17" s="96">
        <f>C16/$C$49</f>
        <v>2.5216100478221114E-2</v>
      </c>
      <c r="D17" s="97">
        <v>1</v>
      </c>
      <c r="E17" s="104"/>
      <c r="F17" s="104"/>
      <c r="G17" s="94"/>
      <c r="H17" s="104"/>
      <c r="I17" s="94"/>
      <c r="J17" s="104"/>
      <c r="K17" s="94"/>
      <c r="L17" s="104"/>
      <c r="M17" s="104"/>
      <c r="N17" s="104"/>
      <c r="O17" s="104"/>
    </row>
    <row r="18" spans="1:17" s="103" customFormat="1" x14ac:dyDescent="0.2">
      <c r="A18" s="98"/>
      <c r="B18" s="105"/>
      <c r="C18" s="100"/>
      <c r="D18" s="106"/>
      <c r="E18" s="102"/>
      <c r="F18" s="104"/>
      <c r="G18" s="94"/>
      <c r="H18" s="104"/>
      <c r="I18" s="94"/>
      <c r="J18" s="104"/>
      <c r="K18" s="94"/>
      <c r="L18" s="104"/>
      <c r="M18" s="104"/>
      <c r="N18" s="104"/>
      <c r="O18" s="104"/>
    </row>
    <row r="19" spans="1:17" s="12" customFormat="1" x14ac:dyDescent="0.2">
      <c r="A19" s="90" t="s">
        <v>166</v>
      </c>
      <c r="B19" s="91" t="str">
        <f>ORÇAMENTO!D20</f>
        <v>INFRAESTRUTURA</v>
      </c>
      <c r="C19" s="92">
        <f>ORÇAMENTO!I20</f>
        <v>174773.75999999998</v>
      </c>
      <c r="D19" s="92">
        <f>ROUND($C19*D20,2)</f>
        <v>26216.06</v>
      </c>
      <c r="E19" s="92">
        <f>ROUND($C19*E20,2)+0.01</f>
        <v>78648.2</v>
      </c>
      <c r="F19" s="92">
        <f>ROUND($C19*F20,2)</f>
        <v>69909.5</v>
      </c>
      <c r="G19" s="94"/>
      <c r="H19" s="104"/>
      <c r="I19" s="94"/>
      <c r="J19" s="104"/>
      <c r="K19" s="94"/>
      <c r="L19" s="104"/>
      <c r="M19" s="104"/>
      <c r="N19" s="104"/>
      <c r="O19" s="104"/>
      <c r="Q19" s="95">
        <f>C19-SUM(D19:O19)</f>
        <v>0</v>
      </c>
    </row>
    <row r="20" spans="1:17" s="12" customFormat="1" x14ac:dyDescent="0.2">
      <c r="A20" s="85"/>
      <c r="B20" s="86"/>
      <c r="C20" s="96">
        <f>C19/$C$49</f>
        <v>0.14539911789882703</v>
      </c>
      <c r="D20" s="108">
        <v>0.15</v>
      </c>
      <c r="E20" s="108">
        <v>0.45</v>
      </c>
      <c r="F20" s="108">
        <v>0.4</v>
      </c>
      <c r="G20" s="94"/>
      <c r="H20" s="104"/>
      <c r="I20" s="94"/>
      <c r="J20" s="104"/>
      <c r="K20" s="94"/>
      <c r="L20" s="104"/>
      <c r="M20" s="104"/>
      <c r="N20" s="104"/>
      <c r="O20" s="104"/>
    </row>
    <row r="21" spans="1:17" s="103" customFormat="1" x14ac:dyDescent="0.2">
      <c r="A21" s="98"/>
      <c r="B21" s="109"/>
      <c r="C21" s="110"/>
      <c r="D21" s="94"/>
      <c r="E21" s="102"/>
      <c r="F21" s="104"/>
      <c r="G21" s="102"/>
      <c r="H21" s="104"/>
      <c r="I21" s="94"/>
      <c r="J21" s="104"/>
      <c r="K21" s="94"/>
      <c r="L21" s="104"/>
      <c r="M21" s="104"/>
      <c r="N21" s="104"/>
      <c r="O21" s="104"/>
    </row>
    <row r="22" spans="1:17" s="12" customFormat="1" x14ac:dyDescent="0.2">
      <c r="A22" s="90" t="s">
        <v>167</v>
      </c>
      <c r="B22" s="91" t="str">
        <f>ORÇAMENTO!D31</f>
        <v>ESTRUTURA</v>
      </c>
      <c r="C22" s="92">
        <f>ORÇAMENTO!I31</f>
        <v>186475.8</v>
      </c>
      <c r="D22" s="94"/>
      <c r="E22" s="92">
        <f>ROUND($C22*E23,2)</f>
        <v>18647.580000000002</v>
      </c>
      <c r="F22" s="92">
        <f>ROUND($C22*F23,2)</f>
        <v>27971.37</v>
      </c>
      <c r="G22" s="92">
        <f>ROUND($C22*G23,2)</f>
        <v>65266.53</v>
      </c>
      <c r="H22" s="92">
        <f>ROUND($C22*H23,2)</f>
        <v>55942.74</v>
      </c>
      <c r="I22" s="94"/>
      <c r="J22" s="92">
        <f>ROUND($C22*J23,2)</f>
        <v>18647.580000000002</v>
      </c>
      <c r="K22" s="94"/>
      <c r="L22" s="104"/>
      <c r="M22" s="104"/>
      <c r="N22" s="104"/>
      <c r="O22" s="104"/>
      <c r="Q22" s="95">
        <f>C22-SUM(D22:O22)</f>
        <v>0</v>
      </c>
    </row>
    <row r="23" spans="1:17" s="12" customFormat="1" x14ac:dyDescent="0.2">
      <c r="A23" s="85"/>
      <c r="B23" s="86"/>
      <c r="C23" s="96">
        <f>C22/$C$49</f>
        <v>0.15513436816532467</v>
      </c>
      <c r="D23" s="94"/>
      <c r="E23" s="108">
        <v>0.1</v>
      </c>
      <c r="F23" s="108">
        <v>0.15</v>
      </c>
      <c r="G23" s="108">
        <v>0.35</v>
      </c>
      <c r="H23" s="108">
        <v>0.3</v>
      </c>
      <c r="I23" s="94"/>
      <c r="J23" s="108">
        <v>0.1</v>
      </c>
      <c r="K23" s="94"/>
      <c r="L23" s="104"/>
      <c r="M23" s="104"/>
      <c r="N23" s="104"/>
      <c r="O23" s="104"/>
    </row>
    <row r="24" spans="1:17" s="103" customFormat="1" x14ac:dyDescent="0.2">
      <c r="A24" s="98"/>
      <c r="B24" s="99"/>
      <c r="C24" s="100"/>
      <c r="D24" s="94"/>
      <c r="E24" s="102"/>
      <c r="F24" s="104"/>
      <c r="G24" s="102"/>
      <c r="H24" s="104"/>
      <c r="I24" s="102"/>
      <c r="J24" s="104"/>
      <c r="K24" s="94"/>
      <c r="L24" s="104"/>
      <c r="M24" s="104"/>
      <c r="N24" s="104"/>
      <c r="O24" s="104"/>
    </row>
    <row r="25" spans="1:17" s="12" customFormat="1" x14ac:dyDescent="0.2">
      <c r="A25" s="90" t="s">
        <v>168</v>
      </c>
      <c r="B25" s="91" t="str">
        <f>ORÇAMENTO!D45</f>
        <v>PAREDES E REVESTIMENTOS</v>
      </c>
      <c r="C25" s="92">
        <f>ORÇAMENTO!I45</f>
        <v>292600.49</v>
      </c>
      <c r="D25" s="94"/>
      <c r="E25" s="104"/>
      <c r="F25" s="104"/>
      <c r="G25" s="92">
        <f>ROUND($C25*G26,2)</f>
        <v>29260.05</v>
      </c>
      <c r="H25" s="92">
        <f>ROUND($C25*H26,2)</f>
        <v>43890.07</v>
      </c>
      <c r="I25" s="92">
        <f>ROUND($C25*I26,2)+0.01</f>
        <v>102410.18</v>
      </c>
      <c r="J25" s="92">
        <f>ROUND($C25*J26,2)</f>
        <v>73150.12</v>
      </c>
      <c r="K25" s="92">
        <f>ROUND($C25*K26,2)</f>
        <v>43890.07</v>
      </c>
      <c r="L25" s="104"/>
      <c r="M25" s="104"/>
      <c r="N25" s="104"/>
      <c r="O25" s="104"/>
      <c r="Q25" s="95">
        <f>C25-SUM(D25:O25)</f>
        <v>0</v>
      </c>
    </row>
    <row r="26" spans="1:17" s="12" customFormat="1" x14ac:dyDescent="0.2">
      <c r="A26" s="85"/>
      <c r="B26" s="86"/>
      <c r="C26" s="96">
        <f>C25/$C$49</f>
        <v>0.2434224287602702</v>
      </c>
      <c r="D26" s="94"/>
      <c r="E26" s="104"/>
      <c r="F26" s="104"/>
      <c r="G26" s="108">
        <v>0.1</v>
      </c>
      <c r="H26" s="108">
        <v>0.15</v>
      </c>
      <c r="I26" s="108">
        <v>0.35</v>
      </c>
      <c r="J26" s="108">
        <v>0.25</v>
      </c>
      <c r="K26" s="108">
        <v>0.15</v>
      </c>
      <c r="L26" s="104"/>
      <c r="M26" s="104"/>
      <c r="N26" s="104"/>
      <c r="O26" s="104"/>
    </row>
    <row r="27" spans="1:17" s="103" customFormat="1" x14ac:dyDescent="0.2">
      <c r="A27" s="98"/>
      <c r="B27" s="99"/>
      <c r="C27" s="100"/>
      <c r="D27" s="94"/>
      <c r="E27" s="9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17" s="12" customFormat="1" x14ac:dyDescent="0.2">
      <c r="A28" s="90" t="s">
        <v>169</v>
      </c>
      <c r="B28" s="91" t="str">
        <f>ORÇAMENTO!D50</f>
        <v>PISOS</v>
      </c>
      <c r="C28" s="92">
        <f>ORÇAMENTO!I50</f>
        <v>133147.27000000002</v>
      </c>
      <c r="D28" s="94"/>
      <c r="E28" s="94"/>
      <c r="F28" s="104"/>
      <c r="G28" s="104"/>
      <c r="H28" s="104"/>
      <c r="I28" s="104"/>
      <c r="J28" s="104"/>
      <c r="K28" s="92">
        <f>ROUND($C28*K29,2)</f>
        <v>39944.18</v>
      </c>
      <c r="L28" s="104"/>
      <c r="M28" s="92">
        <f>ROUND($C28*M29,2)</f>
        <v>26629.45</v>
      </c>
      <c r="N28" s="92">
        <f>ROUND($C28*N29,2)</f>
        <v>66573.64</v>
      </c>
      <c r="O28" s="104"/>
      <c r="Q28" s="95">
        <f>C28-SUM(D28:O28)</f>
        <v>0</v>
      </c>
    </row>
    <row r="29" spans="1:17" s="12" customFormat="1" x14ac:dyDescent="0.2">
      <c r="A29" s="85"/>
      <c r="B29" s="86"/>
      <c r="C29" s="96">
        <f>C28/$C$49</f>
        <v>0.11076889121477367</v>
      </c>
      <c r="D29" s="94"/>
      <c r="E29" s="94"/>
      <c r="F29" s="104"/>
      <c r="G29" s="104"/>
      <c r="H29" s="104"/>
      <c r="I29" s="104"/>
      <c r="J29" s="104"/>
      <c r="K29" s="108">
        <v>0.3</v>
      </c>
      <c r="L29" s="104"/>
      <c r="M29" s="108">
        <v>0.2</v>
      </c>
      <c r="N29" s="108">
        <v>0.5</v>
      </c>
      <c r="O29" s="104"/>
    </row>
    <row r="30" spans="1:17" s="103" customFormat="1" x14ac:dyDescent="0.2">
      <c r="A30" s="98"/>
      <c r="B30" s="99"/>
      <c r="C30" s="100"/>
      <c r="D30" s="94"/>
      <c r="E30" s="94"/>
      <c r="F30" s="94"/>
      <c r="G30" s="94"/>
      <c r="H30" s="94"/>
      <c r="I30" s="94"/>
      <c r="J30" s="94"/>
      <c r="K30" s="94"/>
      <c r="L30" s="104"/>
      <c r="M30" s="104"/>
      <c r="N30" s="104"/>
      <c r="O30" s="104"/>
    </row>
    <row r="31" spans="1:17" s="12" customFormat="1" x14ac:dyDescent="0.2">
      <c r="A31" s="90" t="s">
        <v>170</v>
      </c>
      <c r="B31" s="91" t="str">
        <f>ORÇAMENTO!D54</f>
        <v>COBERTA</v>
      </c>
      <c r="C31" s="92">
        <f>ORÇAMENTO!I54</f>
        <v>163986.42999999996</v>
      </c>
      <c r="D31" s="94"/>
      <c r="E31" s="94"/>
      <c r="F31" s="94"/>
      <c r="G31" s="94"/>
      <c r="H31" s="94"/>
      <c r="I31" s="94"/>
      <c r="J31" s="94"/>
      <c r="K31" s="94"/>
      <c r="L31" s="92">
        <f>ROUND($C31*L32,2)</f>
        <v>90192.54</v>
      </c>
      <c r="M31" s="92">
        <f>ROUND($C31*M32,2)</f>
        <v>65594.570000000007</v>
      </c>
      <c r="N31" s="92">
        <f>ROUND($C31*N32,2)</f>
        <v>8199.32</v>
      </c>
      <c r="O31" s="94"/>
      <c r="Q31" s="95">
        <f>C31-SUM(D31:O31)</f>
        <v>0</v>
      </c>
    </row>
    <row r="32" spans="1:17" s="12" customFormat="1" x14ac:dyDescent="0.2">
      <c r="A32" s="85"/>
      <c r="B32" s="86"/>
      <c r="C32" s="96">
        <f>C31/$C$49</f>
        <v>0.13642484014406822</v>
      </c>
      <c r="D32" s="94"/>
      <c r="E32" s="94"/>
      <c r="F32" s="94"/>
      <c r="G32" s="94"/>
      <c r="H32" s="94"/>
      <c r="I32" s="94"/>
      <c r="J32" s="94"/>
      <c r="K32" s="94"/>
      <c r="L32" s="108">
        <v>0.55000000000000004</v>
      </c>
      <c r="M32" s="108">
        <v>0.4</v>
      </c>
      <c r="N32" s="108">
        <v>0.05</v>
      </c>
      <c r="O32" s="94"/>
    </row>
    <row r="33" spans="1:17" s="103" customFormat="1" x14ac:dyDescent="0.2">
      <c r="A33" s="98"/>
      <c r="B33" s="99"/>
      <c r="C33" s="100"/>
      <c r="D33" s="94"/>
      <c r="E33" s="94"/>
      <c r="F33" s="94"/>
      <c r="G33" s="94"/>
      <c r="H33" s="94"/>
      <c r="I33" s="94"/>
      <c r="J33" s="94"/>
      <c r="K33" s="94"/>
      <c r="L33" s="102"/>
      <c r="M33" s="94"/>
      <c r="N33" s="102"/>
      <c r="O33" s="94"/>
    </row>
    <row r="34" spans="1:17" s="12" customFormat="1" x14ac:dyDescent="0.2">
      <c r="A34" s="90" t="s">
        <v>171</v>
      </c>
      <c r="B34" s="91" t="str">
        <f>ORÇAMENTO!D60</f>
        <v>ESQUADRIAS</v>
      </c>
      <c r="C34" s="92">
        <f>ORÇAMENTO!I60</f>
        <v>27695.879999999997</v>
      </c>
      <c r="D34" s="94"/>
      <c r="E34" s="94"/>
      <c r="F34" s="94"/>
      <c r="G34" s="94"/>
      <c r="H34" s="94"/>
      <c r="I34" s="94"/>
      <c r="J34" s="94"/>
      <c r="K34" s="94"/>
      <c r="L34" s="92">
        <f>ROUND($C34*L35,2)</f>
        <v>5539.18</v>
      </c>
      <c r="M34" s="94"/>
      <c r="N34" s="92">
        <f>ROUND($C34*N35,2)</f>
        <v>22156.7</v>
      </c>
      <c r="O34" s="92"/>
      <c r="Q34" s="95">
        <f>C34-SUM(D34:O34)</f>
        <v>0</v>
      </c>
    </row>
    <row r="35" spans="1:17" s="12" customFormat="1" x14ac:dyDescent="0.2">
      <c r="A35" s="85"/>
      <c r="B35" s="86"/>
      <c r="C35" s="96">
        <f>C34/$C$49</f>
        <v>2.3040967485232142E-2</v>
      </c>
      <c r="D35" s="94"/>
      <c r="E35" s="94"/>
      <c r="F35" s="94"/>
      <c r="G35" s="94"/>
      <c r="H35" s="94"/>
      <c r="I35" s="94"/>
      <c r="J35" s="94"/>
      <c r="K35" s="94"/>
      <c r="L35" s="108">
        <v>0.2</v>
      </c>
      <c r="M35" s="94"/>
      <c r="N35" s="108">
        <v>0.8</v>
      </c>
      <c r="O35" s="108"/>
    </row>
    <row r="36" spans="1:17" s="103" customFormat="1" x14ac:dyDescent="0.2">
      <c r="A36" s="98"/>
      <c r="B36" s="99"/>
      <c r="C36" s="111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102"/>
    </row>
    <row r="37" spans="1:17" s="12" customFormat="1" x14ac:dyDescent="0.2">
      <c r="A37" s="90" t="s">
        <v>334</v>
      </c>
      <c r="B37" s="91" t="str">
        <f>ORÇAMENTO!D64</f>
        <v>PINTURA</v>
      </c>
      <c r="C37" s="92">
        <f>ORÇAMENTO!I64</f>
        <v>62446.37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2">
        <f>ROUND($C37*O38,2)</f>
        <v>62446.37</v>
      </c>
      <c r="Q37" s="95">
        <f>C37-SUM(D37:O37)</f>
        <v>0</v>
      </c>
    </row>
    <row r="38" spans="1:17" s="12" customFormat="1" x14ac:dyDescent="0.2">
      <c r="A38" s="85"/>
      <c r="B38" s="86"/>
      <c r="C38" s="96">
        <f>C37/$C$49</f>
        <v>5.1950859865827551E-2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108">
        <v>1</v>
      </c>
    </row>
    <row r="39" spans="1:17" s="103" customFormat="1" x14ac:dyDescent="0.2">
      <c r="A39" s="98"/>
      <c r="B39" s="99"/>
      <c r="C39" s="111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02"/>
    </row>
    <row r="40" spans="1:17" s="12" customFormat="1" x14ac:dyDescent="0.2">
      <c r="A40" s="90" t="s">
        <v>335</v>
      </c>
      <c r="B40" s="91" t="str">
        <f>ORÇAMENTO!D68</f>
        <v>INSTALAÇÕES ELÉTRICAS</v>
      </c>
      <c r="C40" s="92">
        <f>ORÇAMENTO!I68</f>
        <v>21421.68</v>
      </c>
      <c r="D40" s="94"/>
      <c r="E40" s="94"/>
      <c r="F40" s="94"/>
      <c r="G40" s="94"/>
      <c r="H40" s="94"/>
      <c r="I40" s="94"/>
      <c r="J40" s="94"/>
      <c r="K40" s="92">
        <f>ROUND($C40*K41,2)</f>
        <v>4284.34</v>
      </c>
      <c r="L40" s="94"/>
      <c r="M40" s="94"/>
      <c r="N40" s="94"/>
      <c r="O40" s="92">
        <f>ROUND($C40*O41,2)</f>
        <v>17137.34</v>
      </c>
      <c r="Q40" s="95">
        <f>C40-SUM(D40:O40)</f>
        <v>0</v>
      </c>
    </row>
    <row r="41" spans="1:17" s="12" customFormat="1" x14ac:dyDescent="0.2">
      <c r="A41" s="85"/>
      <c r="B41" s="86"/>
      <c r="C41" s="96">
        <f>C40/$C$49</f>
        <v>1.7821287222469468E-2</v>
      </c>
      <c r="D41" s="94"/>
      <c r="E41" s="94"/>
      <c r="F41" s="94"/>
      <c r="G41" s="94"/>
      <c r="H41" s="94"/>
      <c r="I41" s="94"/>
      <c r="J41" s="94"/>
      <c r="K41" s="108">
        <v>0.2</v>
      </c>
      <c r="L41" s="94"/>
      <c r="M41" s="94"/>
      <c r="N41" s="94"/>
      <c r="O41" s="108">
        <v>0.8</v>
      </c>
    </row>
    <row r="42" spans="1:17" s="103" customFormat="1" x14ac:dyDescent="0.2">
      <c r="A42" s="98"/>
      <c r="B42" s="99"/>
      <c r="C42" s="111"/>
      <c r="D42" s="94"/>
      <c r="E42" s="94"/>
      <c r="F42" s="94"/>
      <c r="G42" s="94"/>
      <c r="H42" s="94"/>
      <c r="I42" s="94"/>
      <c r="J42" s="94"/>
      <c r="K42" s="102"/>
      <c r="L42" s="94"/>
      <c r="M42" s="94"/>
      <c r="N42" s="94"/>
      <c r="O42" s="102"/>
    </row>
    <row r="43" spans="1:17" s="12" customFormat="1" x14ac:dyDescent="0.2">
      <c r="A43" s="90" t="s">
        <v>455</v>
      </c>
      <c r="B43" s="91" t="str">
        <f>ORÇAMENTO!D82</f>
        <v>INSTALAÇÕES HIDROSSANITÁRIAS</v>
      </c>
      <c r="C43" s="92">
        <f>ORÇAMENTO!I82</f>
        <v>10289.719999999999</v>
      </c>
      <c r="D43" s="94"/>
      <c r="E43" s="94"/>
      <c r="F43" s="94"/>
      <c r="G43" s="94"/>
      <c r="H43" s="94"/>
      <c r="I43" s="94"/>
      <c r="J43" s="94"/>
      <c r="K43" s="92">
        <f>ROUND($C43*K44,2)</f>
        <v>3086.92</v>
      </c>
      <c r="L43" s="94"/>
      <c r="M43" s="94"/>
      <c r="N43" s="94"/>
      <c r="O43" s="92">
        <f>ROUND($C43*O44,2)</f>
        <v>7202.8</v>
      </c>
      <c r="Q43" s="95">
        <f>C43-SUM(D43:O43)</f>
        <v>0</v>
      </c>
    </row>
    <row r="44" spans="1:17" s="12" customFormat="1" x14ac:dyDescent="0.2">
      <c r="A44" s="85"/>
      <c r="B44" s="86"/>
      <c r="C44" s="96">
        <f>C43/$C$49</f>
        <v>8.5603022526145722E-3</v>
      </c>
      <c r="D44" s="94"/>
      <c r="E44" s="94"/>
      <c r="F44" s="94"/>
      <c r="G44" s="94"/>
      <c r="H44" s="94"/>
      <c r="I44" s="94"/>
      <c r="J44" s="94"/>
      <c r="K44" s="108">
        <v>0.3</v>
      </c>
      <c r="L44" s="94"/>
      <c r="M44" s="94"/>
      <c r="N44" s="94"/>
      <c r="O44" s="108">
        <v>0.7</v>
      </c>
    </row>
    <row r="45" spans="1:17" s="103" customFormat="1" x14ac:dyDescent="0.2">
      <c r="A45" s="98"/>
      <c r="B45" s="99"/>
      <c r="C45" s="111"/>
      <c r="D45" s="94"/>
      <c r="E45" s="94"/>
      <c r="F45" s="94"/>
      <c r="G45" s="94"/>
      <c r="H45" s="94"/>
      <c r="I45" s="94"/>
      <c r="J45" s="94"/>
      <c r="K45" s="102"/>
      <c r="L45" s="94"/>
      <c r="M45" s="94"/>
      <c r="N45" s="94"/>
      <c r="O45" s="102"/>
    </row>
    <row r="46" spans="1:17" s="12" customFormat="1" x14ac:dyDescent="0.2">
      <c r="A46" s="90" t="s">
        <v>456</v>
      </c>
      <c r="B46" s="91" t="str">
        <f>ORÇAMENTO!D91</f>
        <v>DIVERSOS</v>
      </c>
      <c r="C46" s="92">
        <f>ORÇAMENTO!I91</f>
        <v>7384.04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2">
        <f>ROUND($C46*O47,2)</f>
        <v>7384.04</v>
      </c>
      <c r="Q46" s="95">
        <f>C46-SUM(D46:O46)</f>
        <v>0</v>
      </c>
    </row>
    <row r="47" spans="1:17" s="12" customFormat="1" x14ac:dyDescent="0.2">
      <c r="A47" s="85"/>
      <c r="B47" s="86"/>
      <c r="C47" s="96">
        <f>C46/$C$49</f>
        <v>6.1429868106611359E-3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108">
        <v>1</v>
      </c>
    </row>
    <row r="48" spans="1:17" s="103" customFormat="1" x14ac:dyDescent="0.2">
      <c r="A48" s="98"/>
      <c r="B48" s="99"/>
      <c r="C48" s="111"/>
      <c r="D48" s="106"/>
      <c r="E48" s="102"/>
      <c r="F48" s="102"/>
      <c r="G48" s="102"/>
      <c r="H48" s="102"/>
      <c r="I48" s="102"/>
      <c r="J48" s="102"/>
      <c r="K48" s="102"/>
      <c r="L48" s="94"/>
      <c r="M48" s="94"/>
      <c r="N48" s="94"/>
      <c r="O48" s="102"/>
    </row>
    <row r="49" spans="1:18" s="12" customFormat="1" x14ac:dyDescent="0.2">
      <c r="A49" s="265" t="s">
        <v>46</v>
      </c>
      <c r="B49" s="265"/>
      <c r="C49" s="93">
        <f>C10+C13+C16+C19+C22+C25+C28+C31+C34+C37+C40+C43+C46</f>
        <v>1202027.6499999999</v>
      </c>
      <c r="D49" s="107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8" s="12" customFormat="1" x14ac:dyDescent="0.2">
      <c r="A50" s="265"/>
      <c r="B50" s="265"/>
      <c r="C50" s="112">
        <f>C49/$C$49</f>
        <v>1</v>
      </c>
      <c r="D50" s="107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  <row r="51" spans="1:18" s="12" customFormat="1" x14ac:dyDescent="0.2">
      <c r="A51" s="113"/>
      <c r="B51" s="114"/>
      <c r="C51" s="115"/>
      <c r="D51" s="116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</row>
    <row r="52" spans="1:18" s="80" customFormat="1" x14ac:dyDescent="0.2">
      <c r="A52" s="266" t="s">
        <v>52</v>
      </c>
      <c r="B52" s="266"/>
      <c r="C52" s="266"/>
      <c r="D52" s="180">
        <f>SUM(D10,D13,D16,D19,D22,D25,D28,D31,D34,D37,D40)</f>
        <v>100964.66</v>
      </c>
      <c r="E52" s="180">
        <f t="shared" ref="E52:O52" si="2">SUM(E10,E13,E16,E19,E22,E25,E28,E31,E34,E37,E40,E43,E46)</f>
        <v>101573.75</v>
      </c>
      <c r="F52" s="180">
        <f t="shared" si="2"/>
        <v>102158.84</v>
      </c>
      <c r="G52" s="180">
        <f t="shared" si="2"/>
        <v>98804.55</v>
      </c>
      <c r="H52" s="180">
        <f t="shared" si="2"/>
        <v>104110.78</v>
      </c>
      <c r="I52" s="180">
        <f t="shared" si="2"/>
        <v>106688.15</v>
      </c>
      <c r="J52" s="180">
        <f t="shared" si="2"/>
        <v>96075.67</v>
      </c>
      <c r="K52" s="180">
        <f t="shared" si="2"/>
        <v>95483.48</v>
      </c>
      <c r="L52" s="180">
        <f t="shared" si="2"/>
        <v>100009.69</v>
      </c>
      <c r="M52" s="180">
        <f t="shared" si="2"/>
        <v>96501.99</v>
      </c>
      <c r="N52" s="180">
        <f t="shared" si="2"/>
        <v>101207.62999999999</v>
      </c>
      <c r="O52" s="180">
        <f t="shared" si="2"/>
        <v>98448.459999999992</v>
      </c>
    </row>
    <row r="53" spans="1:18" s="80" customFormat="1" ht="12" x14ac:dyDescent="0.2">
      <c r="A53" s="266"/>
      <c r="B53" s="266"/>
      <c r="C53" s="266"/>
      <c r="D53" s="181">
        <f t="shared" ref="D53:O53" si="3">D52/$C$49</f>
        <v>8.3995289126668607E-2</v>
      </c>
      <c r="E53" s="181">
        <f t="shared" si="3"/>
        <v>8.4502007919701361E-2</v>
      </c>
      <c r="F53" s="181">
        <f t="shared" si="3"/>
        <v>8.4988760449894812E-2</v>
      </c>
      <c r="G53" s="181">
        <f t="shared" si="3"/>
        <v>8.219823395909405E-2</v>
      </c>
      <c r="H53" s="181">
        <f t="shared" si="3"/>
        <v>8.6612633245167034E-2</v>
      </c>
      <c r="I53" s="181">
        <f t="shared" si="3"/>
        <v>8.8756818530755094E-2</v>
      </c>
      <c r="J53" s="181">
        <f t="shared" si="3"/>
        <v>7.9928003320056742E-2</v>
      </c>
      <c r="K53" s="181">
        <f t="shared" si="3"/>
        <v>7.9435344103773328E-2</v>
      </c>
      <c r="L53" s="181">
        <f t="shared" si="3"/>
        <v>8.3200823209016866E-2</v>
      </c>
      <c r="M53" s="181">
        <f t="shared" si="3"/>
        <v>8.0282670702292086E-2</v>
      </c>
      <c r="N53" s="181">
        <f t="shared" si="3"/>
        <v>8.4197422580087902E-2</v>
      </c>
      <c r="O53" s="181">
        <f t="shared" si="3"/>
        <v>8.1901992853492186E-2</v>
      </c>
    </row>
    <row r="54" spans="1:18" s="12" customFormat="1" x14ac:dyDescent="0.2">
      <c r="A54" s="182"/>
      <c r="B54" s="183"/>
      <c r="C54" s="184"/>
      <c r="D54" s="77"/>
      <c r="E54" s="115"/>
      <c r="F54" s="118"/>
      <c r="G54" s="115"/>
      <c r="H54" s="118"/>
      <c r="I54" s="115"/>
      <c r="J54" s="118"/>
      <c r="K54" s="115"/>
      <c r="L54" s="118"/>
      <c r="M54" s="118"/>
      <c r="N54" s="118"/>
      <c r="O54" s="118"/>
    </row>
    <row r="55" spans="1:18" s="80" customFormat="1" x14ac:dyDescent="0.2">
      <c r="A55" s="266" t="s">
        <v>84</v>
      </c>
      <c r="B55" s="266"/>
      <c r="C55" s="266"/>
      <c r="D55" s="180">
        <f>D52</f>
        <v>100964.66</v>
      </c>
      <c r="E55" s="180">
        <f>E52+D55</f>
        <v>202538.41</v>
      </c>
      <c r="F55" s="180">
        <f t="shared" ref="F55:N55" si="4">F52+E55</f>
        <v>304697.25</v>
      </c>
      <c r="G55" s="180">
        <f t="shared" si="4"/>
        <v>403501.8</v>
      </c>
      <c r="H55" s="180">
        <f t="shared" si="4"/>
        <v>507612.57999999996</v>
      </c>
      <c r="I55" s="180">
        <f t="shared" si="4"/>
        <v>614300.73</v>
      </c>
      <c r="J55" s="180">
        <f t="shared" si="4"/>
        <v>710376.4</v>
      </c>
      <c r="K55" s="180">
        <f t="shared" si="4"/>
        <v>805859.88</v>
      </c>
      <c r="L55" s="180">
        <f t="shared" si="4"/>
        <v>905869.57000000007</v>
      </c>
      <c r="M55" s="180">
        <f t="shared" si="4"/>
        <v>1002371.56</v>
      </c>
      <c r="N55" s="180">
        <f t="shared" si="4"/>
        <v>1103579.19</v>
      </c>
      <c r="O55" s="180">
        <f>O52+N55</f>
        <v>1202027.6499999999</v>
      </c>
    </row>
    <row r="56" spans="1:18" s="80" customFormat="1" ht="12" x14ac:dyDescent="0.2">
      <c r="A56" s="266"/>
      <c r="B56" s="266"/>
      <c r="C56" s="266"/>
      <c r="D56" s="181">
        <f t="shared" ref="D56:O56" si="5">D55/$C$49</f>
        <v>8.3995289126668607E-2</v>
      </c>
      <c r="E56" s="181">
        <f t="shared" si="5"/>
        <v>0.16849729704636995</v>
      </c>
      <c r="F56" s="181">
        <f t="shared" si="5"/>
        <v>0.25348605749626479</v>
      </c>
      <c r="G56" s="181">
        <f t="shared" si="5"/>
        <v>0.33568429145535877</v>
      </c>
      <c r="H56" s="181">
        <f t="shared" si="5"/>
        <v>0.42229692470052582</v>
      </c>
      <c r="I56" s="181">
        <f t="shared" si="5"/>
        <v>0.51105374323128094</v>
      </c>
      <c r="J56" s="181">
        <f t="shared" si="5"/>
        <v>0.59098174655133773</v>
      </c>
      <c r="K56" s="181">
        <f t="shared" si="5"/>
        <v>0.67041709065511101</v>
      </c>
      <c r="L56" s="181">
        <f t="shared" si="5"/>
        <v>0.75361791386412791</v>
      </c>
      <c r="M56" s="181">
        <f t="shared" si="5"/>
        <v>0.83390058456642002</v>
      </c>
      <c r="N56" s="181">
        <f t="shared" si="5"/>
        <v>0.9180980071465078</v>
      </c>
      <c r="O56" s="181">
        <f t="shared" si="5"/>
        <v>1</v>
      </c>
    </row>
    <row r="57" spans="1:18" s="80" customFormat="1" x14ac:dyDescent="0.2">
      <c r="A57" s="85"/>
      <c r="B57" s="185"/>
      <c r="C57" s="185"/>
      <c r="F57" s="119"/>
      <c r="H57" s="119"/>
      <c r="J57" s="119"/>
      <c r="L57" s="119"/>
      <c r="M57" s="119"/>
      <c r="N57" s="119"/>
      <c r="O57" s="119"/>
    </row>
    <row r="58" spans="1:18" s="120" customFormat="1" ht="22.5" customHeight="1" x14ac:dyDescent="0.2">
      <c r="A58" s="259" t="s">
        <v>18</v>
      </c>
      <c r="B58" s="259"/>
      <c r="C58" s="259"/>
      <c r="D58" s="260">
        <f>SUM(D52:O52)</f>
        <v>1202027.6499999999</v>
      </c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Q58" s="121">
        <f>C49</f>
        <v>1202027.6499999999</v>
      </c>
      <c r="R58" s="122">
        <f>D58-Q58</f>
        <v>0</v>
      </c>
    </row>
    <row r="59" spans="1:18" x14ac:dyDescent="0.2">
      <c r="Q59" s="123"/>
    </row>
    <row r="60" spans="1:18" x14ac:dyDescent="0.2">
      <c r="C60" s="124" t="e">
        <f>C49-#REF!</f>
        <v>#REF!</v>
      </c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Q60" s="122" t="s">
        <v>50</v>
      </c>
      <c r="R60" s="126">
        <f>Q58/12</f>
        <v>100168.97083333333</v>
      </c>
    </row>
  </sheetData>
  <mergeCells count="11">
    <mergeCell ref="A58:C58"/>
    <mergeCell ref="D58:O58"/>
    <mergeCell ref="A1:O1"/>
    <mergeCell ref="A7:A8"/>
    <mergeCell ref="B7:B8"/>
    <mergeCell ref="C7:C8"/>
    <mergeCell ref="D7:O7"/>
    <mergeCell ref="A49:B50"/>
    <mergeCell ref="A52:C53"/>
    <mergeCell ref="A55:C56"/>
    <mergeCell ref="B3:O3"/>
  </mergeCells>
  <phoneticPr fontId="7" type="noConversion"/>
  <printOptions horizontalCentered="1"/>
  <pageMargins left="0.39370078740157483" right="0.39370078740157483" top="0.78740157480314965" bottom="0.39370078740157483" header="3.937007874015748E-2" footer="0.19685039370078741"/>
  <pageSetup paperSize="9" scale="75" fitToHeight="0" orientation="landscape" horizontalDpi="300" verticalDpi="300" r:id="rId1"/>
  <headerFooter>
    <oddHeader>&amp;C&amp;G</oddHeader>
    <oddFooter>&amp;C&amp;G&amp;R&amp;"Arial,Normal"&amp;8Pág.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92FB-0280-4A4D-BE3F-62E1CA2D7622}">
  <sheetPr>
    <tabColor rgb="FF00B050"/>
    <pageSetUpPr fitToPage="1"/>
  </sheetPr>
  <dimension ref="A1:W584"/>
  <sheetViews>
    <sheetView view="pageBreakPreview" topLeftCell="A133" zoomScaleNormal="100" zoomScaleSheetLayoutView="100" workbookViewId="0">
      <selection activeCell="A2" sqref="A2:XFD2"/>
    </sheetView>
  </sheetViews>
  <sheetFormatPr defaultRowHeight="12" x14ac:dyDescent="0.2"/>
  <cols>
    <col min="1" max="1" width="12.28515625" style="247" customWidth="1"/>
    <col min="2" max="2" width="10.85546875" style="247" customWidth="1"/>
    <col min="3" max="3" width="53.28515625" style="247" customWidth="1"/>
    <col min="4" max="4" width="9.28515625" style="247" bestFit="1" customWidth="1"/>
    <col min="5" max="5" width="10.5703125" style="247" customWidth="1"/>
    <col min="6" max="6" width="9.85546875" style="247" customWidth="1"/>
    <col min="7" max="7" width="11.42578125" style="247" bestFit="1" customWidth="1"/>
    <col min="8" max="8" width="8.28515625" style="247" customWidth="1"/>
    <col min="9" max="9" width="11.28515625" style="247" customWidth="1"/>
    <col min="10" max="10" width="15" style="247" bestFit="1" customWidth="1"/>
    <col min="11" max="12" width="9.28515625" style="247" bestFit="1" customWidth="1"/>
    <col min="13" max="257" width="9.140625" style="247"/>
    <col min="258" max="258" width="17.5703125" style="247" customWidth="1"/>
    <col min="259" max="259" width="47.5703125" style="247" customWidth="1"/>
    <col min="260" max="260" width="9.140625" style="247"/>
    <col min="261" max="261" width="10.28515625" style="247" customWidth="1"/>
    <col min="262" max="262" width="11.7109375" style="247" customWidth="1"/>
    <col min="263" max="263" width="15.85546875" style="247" customWidth="1"/>
    <col min="264" max="513" width="9.140625" style="247"/>
    <col min="514" max="514" width="17.5703125" style="247" customWidth="1"/>
    <col min="515" max="515" width="47.5703125" style="247" customWidth="1"/>
    <col min="516" max="516" width="9.140625" style="247"/>
    <col min="517" max="517" width="10.28515625" style="247" customWidth="1"/>
    <col min="518" max="518" width="11.7109375" style="247" customWidth="1"/>
    <col min="519" max="519" width="15.85546875" style="247" customWidth="1"/>
    <col min="520" max="769" width="9.140625" style="247"/>
    <col min="770" max="770" width="17.5703125" style="247" customWidth="1"/>
    <col min="771" max="771" width="47.5703125" style="247" customWidth="1"/>
    <col min="772" max="772" width="9.140625" style="247"/>
    <col min="773" max="773" width="10.28515625" style="247" customWidth="1"/>
    <col min="774" max="774" width="11.7109375" style="247" customWidth="1"/>
    <col min="775" max="775" width="15.85546875" style="247" customWidth="1"/>
    <col min="776" max="1025" width="9.140625" style="247"/>
    <col min="1026" max="1026" width="17.5703125" style="247" customWidth="1"/>
    <col min="1027" max="1027" width="47.5703125" style="247" customWidth="1"/>
    <col min="1028" max="1028" width="9.140625" style="247"/>
    <col min="1029" max="1029" width="10.28515625" style="247" customWidth="1"/>
    <col min="1030" max="1030" width="11.7109375" style="247" customWidth="1"/>
    <col min="1031" max="1031" width="15.85546875" style="247" customWidth="1"/>
    <col min="1032" max="1281" width="9.140625" style="247"/>
    <col min="1282" max="1282" width="17.5703125" style="247" customWidth="1"/>
    <col min="1283" max="1283" width="47.5703125" style="247" customWidth="1"/>
    <col min="1284" max="1284" width="9.140625" style="247"/>
    <col min="1285" max="1285" width="10.28515625" style="247" customWidth="1"/>
    <col min="1286" max="1286" width="11.7109375" style="247" customWidth="1"/>
    <col min="1287" max="1287" width="15.85546875" style="247" customWidth="1"/>
    <col min="1288" max="1537" width="9.140625" style="247"/>
    <col min="1538" max="1538" width="17.5703125" style="247" customWidth="1"/>
    <col min="1539" max="1539" width="47.5703125" style="247" customWidth="1"/>
    <col min="1540" max="1540" width="9.140625" style="247"/>
    <col min="1541" max="1541" width="10.28515625" style="247" customWidth="1"/>
    <col min="1542" max="1542" width="11.7109375" style="247" customWidth="1"/>
    <col min="1543" max="1543" width="15.85546875" style="247" customWidth="1"/>
    <col min="1544" max="1793" width="9.140625" style="247"/>
    <col min="1794" max="1794" width="17.5703125" style="247" customWidth="1"/>
    <col min="1795" max="1795" width="47.5703125" style="247" customWidth="1"/>
    <col min="1796" max="1796" width="9.140625" style="247"/>
    <col min="1797" max="1797" width="10.28515625" style="247" customWidth="1"/>
    <col min="1798" max="1798" width="11.7109375" style="247" customWidth="1"/>
    <col min="1799" max="1799" width="15.85546875" style="247" customWidth="1"/>
    <col min="1800" max="2049" width="9.140625" style="247"/>
    <col min="2050" max="2050" width="17.5703125" style="247" customWidth="1"/>
    <col min="2051" max="2051" width="47.5703125" style="247" customWidth="1"/>
    <col min="2052" max="2052" width="9.140625" style="247"/>
    <col min="2053" max="2053" width="10.28515625" style="247" customWidth="1"/>
    <col min="2054" max="2054" width="11.7109375" style="247" customWidth="1"/>
    <col min="2055" max="2055" width="15.85546875" style="247" customWidth="1"/>
    <col min="2056" max="2305" width="9.140625" style="247"/>
    <col min="2306" max="2306" width="17.5703125" style="247" customWidth="1"/>
    <col min="2307" max="2307" width="47.5703125" style="247" customWidth="1"/>
    <col min="2308" max="2308" width="9.140625" style="247"/>
    <col min="2309" max="2309" width="10.28515625" style="247" customWidth="1"/>
    <col min="2310" max="2310" width="11.7109375" style="247" customWidth="1"/>
    <col min="2311" max="2311" width="15.85546875" style="247" customWidth="1"/>
    <col min="2312" max="2561" width="9.140625" style="247"/>
    <col min="2562" max="2562" width="17.5703125" style="247" customWidth="1"/>
    <col min="2563" max="2563" width="47.5703125" style="247" customWidth="1"/>
    <col min="2564" max="2564" width="9.140625" style="247"/>
    <col min="2565" max="2565" width="10.28515625" style="247" customWidth="1"/>
    <col min="2566" max="2566" width="11.7109375" style="247" customWidth="1"/>
    <col min="2567" max="2567" width="15.85546875" style="247" customWidth="1"/>
    <col min="2568" max="2817" width="9.140625" style="247"/>
    <col min="2818" max="2818" width="17.5703125" style="247" customWidth="1"/>
    <col min="2819" max="2819" width="47.5703125" style="247" customWidth="1"/>
    <col min="2820" max="2820" width="9.140625" style="247"/>
    <col min="2821" max="2821" width="10.28515625" style="247" customWidth="1"/>
    <col min="2822" max="2822" width="11.7109375" style="247" customWidth="1"/>
    <col min="2823" max="2823" width="15.85546875" style="247" customWidth="1"/>
    <col min="2824" max="3073" width="9.140625" style="247"/>
    <col min="3074" max="3074" width="17.5703125" style="247" customWidth="1"/>
    <col min="3075" max="3075" width="47.5703125" style="247" customWidth="1"/>
    <col min="3076" max="3076" width="9.140625" style="247"/>
    <col min="3077" max="3077" width="10.28515625" style="247" customWidth="1"/>
    <col min="3078" max="3078" width="11.7109375" style="247" customWidth="1"/>
    <col min="3079" max="3079" width="15.85546875" style="247" customWidth="1"/>
    <col min="3080" max="3329" width="9.140625" style="247"/>
    <col min="3330" max="3330" width="17.5703125" style="247" customWidth="1"/>
    <col min="3331" max="3331" width="47.5703125" style="247" customWidth="1"/>
    <col min="3332" max="3332" width="9.140625" style="247"/>
    <col min="3333" max="3333" width="10.28515625" style="247" customWidth="1"/>
    <col min="3334" max="3334" width="11.7109375" style="247" customWidth="1"/>
    <col min="3335" max="3335" width="15.85546875" style="247" customWidth="1"/>
    <col min="3336" max="3585" width="9.140625" style="247"/>
    <col min="3586" max="3586" width="17.5703125" style="247" customWidth="1"/>
    <col min="3587" max="3587" width="47.5703125" style="247" customWidth="1"/>
    <col min="3588" max="3588" width="9.140625" style="247"/>
    <col min="3589" max="3589" width="10.28515625" style="247" customWidth="1"/>
    <col min="3590" max="3590" width="11.7109375" style="247" customWidth="1"/>
    <col min="3591" max="3591" width="15.85546875" style="247" customWidth="1"/>
    <col min="3592" max="3841" width="9.140625" style="247"/>
    <col min="3842" max="3842" width="17.5703125" style="247" customWidth="1"/>
    <col min="3843" max="3843" width="47.5703125" style="247" customWidth="1"/>
    <col min="3844" max="3844" width="9.140625" style="247"/>
    <col min="3845" max="3845" width="10.28515625" style="247" customWidth="1"/>
    <col min="3846" max="3846" width="11.7109375" style="247" customWidth="1"/>
    <col min="3847" max="3847" width="15.85546875" style="247" customWidth="1"/>
    <col min="3848" max="4097" width="9.140625" style="247"/>
    <col min="4098" max="4098" width="17.5703125" style="247" customWidth="1"/>
    <col min="4099" max="4099" width="47.5703125" style="247" customWidth="1"/>
    <col min="4100" max="4100" width="9.140625" style="247"/>
    <col min="4101" max="4101" width="10.28515625" style="247" customWidth="1"/>
    <col min="4102" max="4102" width="11.7109375" style="247" customWidth="1"/>
    <col min="4103" max="4103" width="15.85546875" style="247" customWidth="1"/>
    <col min="4104" max="4353" width="9.140625" style="247"/>
    <col min="4354" max="4354" width="17.5703125" style="247" customWidth="1"/>
    <col min="4355" max="4355" width="47.5703125" style="247" customWidth="1"/>
    <col min="4356" max="4356" width="9.140625" style="247"/>
    <col min="4357" max="4357" width="10.28515625" style="247" customWidth="1"/>
    <col min="4358" max="4358" width="11.7109375" style="247" customWidth="1"/>
    <col min="4359" max="4359" width="15.85546875" style="247" customWidth="1"/>
    <col min="4360" max="4609" width="9.140625" style="247"/>
    <col min="4610" max="4610" width="17.5703125" style="247" customWidth="1"/>
    <col min="4611" max="4611" width="47.5703125" style="247" customWidth="1"/>
    <col min="4612" max="4612" width="9.140625" style="247"/>
    <col min="4613" max="4613" width="10.28515625" style="247" customWidth="1"/>
    <col min="4614" max="4614" width="11.7109375" style="247" customWidth="1"/>
    <col min="4615" max="4615" width="15.85546875" style="247" customWidth="1"/>
    <col min="4616" max="4865" width="9.140625" style="247"/>
    <col min="4866" max="4866" width="17.5703125" style="247" customWidth="1"/>
    <col min="4867" max="4867" width="47.5703125" style="247" customWidth="1"/>
    <col min="4868" max="4868" width="9.140625" style="247"/>
    <col min="4869" max="4869" width="10.28515625" style="247" customWidth="1"/>
    <col min="4870" max="4870" width="11.7109375" style="247" customWidth="1"/>
    <col min="4871" max="4871" width="15.85546875" style="247" customWidth="1"/>
    <col min="4872" max="5121" width="9.140625" style="247"/>
    <col min="5122" max="5122" width="17.5703125" style="247" customWidth="1"/>
    <col min="5123" max="5123" width="47.5703125" style="247" customWidth="1"/>
    <col min="5124" max="5124" width="9.140625" style="247"/>
    <col min="5125" max="5125" width="10.28515625" style="247" customWidth="1"/>
    <col min="5126" max="5126" width="11.7109375" style="247" customWidth="1"/>
    <col min="5127" max="5127" width="15.85546875" style="247" customWidth="1"/>
    <col min="5128" max="5377" width="9.140625" style="247"/>
    <col min="5378" max="5378" width="17.5703125" style="247" customWidth="1"/>
    <col min="5379" max="5379" width="47.5703125" style="247" customWidth="1"/>
    <col min="5380" max="5380" width="9.140625" style="247"/>
    <col min="5381" max="5381" width="10.28515625" style="247" customWidth="1"/>
    <col min="5382" max="5382" width="11.7109375" style="247" customWidth="1"/>
    <col min="5383" max="5383" width="15.85546875" style="247" customWidth="1"/>
    <col min="5384" max="5633" width="9.140625" style="247"/>
    <col min="5634" max="5634" width="17.5703125" style="247" customWidth="1"/>
    <col min="5635" max="5635" width="47.5703125" style="247" customWidth="1"/>
    <col min="5636" max="5636" width="9.140625" style="247"/>
    <col min="5637" max="5637" width="10.28515625" style="247" customWidth="1"/>
    <col min="5638" max="5638" width="11.7109375" style="247" customWidth="1"/>
    <col min="5639" max="5639" width="15.85546875" style="247" customWidth="1"/>
    <col min="5640" max="5889" width="9.140625" style="247"/>
    <col min="5890" max="5890" width="17.5703125" style="247" customWidth="1"/>
    <col min="5891" max="5891" width="47.5703125" style="247" customWidth="1"/>
    <col min="5892" max="5892" width="9.140625" style="247"/>
    <col min="5893" max="5893" width="10.28515625" style="247" customWidth="1"/>
    <col min="5894" max="5894" width="11.7109375" style="247" customWidth="1"/>
    <col min="5895" max="5895" width="15.85546875" style="247" customWidth="1"/>
    <col min="5896" max="6145" width="9.140625" style="247"/>
    <col min="6146" max="6146" width="17.5703125" style="247" customWidth="1"/>
    <col min="6147" max="6147" width="47.5703125" style="247" customWidth="1"/>
    <col min="6148" max="6148" width="9.140625" style="247"/>
    <col min="6149" max="6149" width="10.28515625" style="247" customWidth="1"/>
    <col min="6150" max="6150" width="11.7109375" style="247" customWidth="1"/>
    <col min="6151" max="6151" width="15.85546875" style="247" customWidth="1"/>
    <col min="6152" max="6401" width="9.140625" style="247"/>
    <col min="6402" max="6402" width="17.5703125" style="247" customWidth="1"/>
    <col min="6403" max="6403" width="47.5703125" style="247" customWidth="1"/>
    <col min="6404" max="6404" width="9.140625" style="247"/>
    <col min="6405" max="6405" width="10.28515625" style="247" customWidth="1"/>
    <col min="6406" max="6406" width="11.7109375" style="247" customWidth="1"/>
    <col min="6407" max="6407" width="15.85546875" style="247" customWidth="1"/>
    <col min="6408" max="6657" width="9.140625" style="247"/>
    <col min="6658" max="6658" width="17.5703125" style="247" customWidth="1"/>
    <col min="6659" max="6659" width="47.5703125" style="247" customWidth="1"/>
    <col min="6660" max="6660" width="9.140625" style="247"/>
    <col min="6661" max="6661" width="10.28515625" style="247" customWidth="1"/>
    <col min="6662" max="6662" width="11.7109375" style="247" customWidth="1"/>
    <col min="6663" max="6663" width="15.85546875" style="247" customWidth="1"/>
    <col min="6664" max="6913" width="9.140625" style="247"/>
    <col min="6914" max="6914" width="17.5703125" style="247" customWidth="1"/>
    <col min="6915" max="6915" width="47.5703125" style="247" customWidth="1"/>
    <col min="6916" max="6916" width="9.140625" style="247"/>
    <col min="6917" max="6917" width="10.28515625" style="247" customWidth="1"/>
    <col min="6918" max="6918" width="11.7109375" style="247" customWidth="1"/>
    <col min="6919" max="6919" width="15.85546875" style="247" customWidth="1"/>
    <col min="6920" max="7169" width="9.140625" style="247"/>
    <col min="7170" max="7170" width="17.5703125" style="247" customWidth="1"/>
    <col min="7171" max="7171" width="47.5703125" style="247" customWidth="1"/>
    <col min="7172" max="7172" width="9.140625" style="247"/>
    <col min="7173" max="7173" width="10.28515625" style="247" customWidth="1"/>
    <col min="7174" max="7174" width="11.7109375" style="247" customWidth="1"/>
    <col min="7175" max="7175" width="15.85546875" style="247" customWidth="1"/>
    <col min="7176" max="7425" width="9.140625" style="247"/>
    <col min="7426" max="7426" width="17.5703125" style="247" customWidth="1"/>
    <col min="7427" max="7427" width="47.5703125" style="247" customWidth="1"/>
    <col min="7428" max="7428" width="9.140625" style="247"/>
    <col min="7429" max="7429" width="10.28515625" style="247" customWidth="1"/>
    <col min="7430" max="7430" width="11.7109375" style="247" customWidth="1"/>
    <col min="7431" max="7431" width="15.85546875" style="247" customWidth="1"/>
    <col min="7432" max="7681" width="9.140625" style="247"/>
    <col min="7682" max="7682" width="17.5703125" style="247" customWidth="1"/>
    <col min="7683" max="7683" width="47.5703125" style="247" customWidth="1"/>
    <col min="7684" max="7684" width="9.140625" style="247"/>
    <col min="7685" max="7685" width="10.28515625" style="247" customWidth="1"/>
    <col min="7686" max="7686" width="11.7109375" style="247" customWidth="1"/>
    <col min="7687" max="7687" width="15.85546875" style="247" customWidth="1"/>
    <col min="7688" max="7937" width="9.140625" style="247"/>
    <col min="7938" max="7938" width="17.5703125" style="247" customWidth="1"/>
    <col min="7939" max="7939" width="47.5703125" style="247" customWidth="1"/>
    <col min="7940" max="7940" width="9.140625" style="247"/>
    <col min="7941" max="7941" width="10.28515625" style="247" customWidth="1"/>
    <col min="7942" max="7942" width="11.7109375" style="247" customWidth="1"/>
    <col min="7943" max="7943" width="15.85546875" style="247" customWidth="1"/>
    <col min="7944" max="8193" width="9.140625" style="247"/>
    <col min="8194" max="8194" width="17.5703125" style="247" customWidth="1"/>
    <col min="8195" max="8195" width="47.5703125" style="247" customWidth="1"/>
    <col min="8196" max="8196" width="9.140625" style="247"/>
    <col min="8197" max="8197" width="10.28515625" style="247" customWidth="1"/>
    <col min="8198" max="8198" width="11.7109375" style="247" customWidth="1"/>
    <col min="8199" max="8199" width="15.85546875" style="247" customWidth="1"/>
    <col min="8200" max="8449" width="9.140625" style="247"/>
    <col min="8450" max="8450" width="17.5703125" style="247" customWidth="1"/>
    <col min="8451" max="8451" width="47.5703125" style="247" customWidth="1"/>
    <col min="8452" max="8452" width="9.140625" style="247"/>
    <col min="8453" max="8453" width="10.28515625" style="247" customWidth="1"/>
    <col min="8454" max="8454" width="11.7109375" style="247" customWidth="1"/>
    <col min="8455" max="8455" width="15.85546875" style="247" customWidth="1"/>
    <col min="8456" max="8705" width="9.140625" style="247"/>
    <col min="8706" max="8706" width="17.5703125" style="247" customWidth="1"/>
    <col min="8707" max="8707" width="47.5703125" style="247" customWidth="1"/>
    <col min="8708" max="8708" width="9.140625" style="247"/>
    <col min="8709" max="8709" width="10.28515625" style="247" customWidth="1"/>
    <col min="8710" max="8710" width="11.7109375" style="247" customWidth="1"/>
    <col min="8711" max="8711" width="15.85546875" style="247" customWidth="1"/>
    <col min="8712" max="8961" width="9.140625" style="247"/>
    <col min="8962" max="8962" width="17.5703125" style="247" customWidth="1"/>
    <col min="8963" max="8963" width="47.5703125" style="247" customWidth="1"/>
    <col min="8964" max="8964" width="9.140625" style="247"/>
    <col min="8965" max="8965" width="10.28515625" style="247" customWidth="1"/>
    <col min="8966" max="8966" width="11.7109375" style="247" customWidth="1"/>
    <col min="8967" max="8967" width="15.85546875" style="247" customWidth="1"/>
    <col min="8968" max="9217" width="9.140625" style="247"/>
    <col min="9218" max="9218" width="17.5703125" style="247" customWidth="1"/>
    <col min="9219" max="9219" width="47.5703125" style="247" customWidth="1"/>
    <col min="9220" max="9220" width="9.140625" style="247"/>
    <col min="9221" max="9221" width="10.28515625" style="247" customWidth="1"/>
    <col min="9222" max="9222" width="11.7109375" style="247" customWidth="1"/>
    <col min="9223" max="9223" width="15.85546875" style="247" customWidth="1"/>
    <col min="9224" max="9473" width="9.140625" style="247"/>
    <col min="9474" max="9474" width="17.5703125" style="247" customWidth="1"/>
    <col min="9475" max="9475" width="47.5703125" style="247" customWidth="1"/>
    <col min="9476" max="9476" width="9.140625" style="247"/>
    <col min="9477" max="9477" width="10.28515625" style="247" customWidth="1"/>
    <col min="9478" max="9478" width="11.7109375" style="247" customWidth="1"/>
    <col min="9479" max="9479" width="15.85546875" style="247" customWidth="1"/>
    <col min="9480" max="9729" width="9.140625" style="247"/>
    <col min="9730" max="9730" width="17.5703125" style="247" customWidth="1"/>
    <col min="9731" max="9731" width="47.5703125" style="247" customWidth="1"/>
    <col min="9732" max="9732" width="9.140625" style="247"/>
    <col min="9733" max="9733" width="10.28515625" style="247" customWidth="1"/>
    <col min="9734" max="9734" width="11.7109375" style="247" customWidth="1"/>
    <col min="9735" max="9735" width="15.85546875" style="247" customWidth="1"/>
    <col min="9736" max="9985" width="9.140625" style="247"/>
    <col min="9986" max="9986" width="17.5703125" style="247" customWidth="1"/>
    <col min="9987" max="9987" width="47.5703125" style="247" customWidth="1"/>
    <col min="9988" max="9988" width="9.140625" style="247"/>
    <col min="9989" max="9989" width="10.28515625" style="247" customWidth="1"/>
    <col min="9990" max="9990" width="11.7109375" style="247" customWidth="1"/>
    <col min="9991" max="9991" width="15.85546875" style="247" customWidth="1"/>
    <col min="9992" max="10241" width="9.140625" style="247"/>
    <col min="10242" max="10242" width="17.5703125" style="247" customWidth="1"/>
    <col min="10243" max="10243" width="47.5703125" style="247" customWidth="1"/>
    <col min="10244" max="10244" width="9.140625" style="247"/>
    <col min="10245" max="10245" width="10.28515625" style="247" customWidth="1"/>
    <col min="10246" max="10246" width="11.7109375" style="247" customWidth="1"/>
    <col min="10247" max="10247" width="15.85546875" style="247" customWidth="1"/>
    <col min="10248" max="10497" width="9.140625" style="247"/>
    <col min="10498" max="10498" width="17.5703125" style="247" customWidth="1"/>
    <col min="10499" max="10499" width="47.5703125" style="247" customWidth="1"/>
    <col min="10500" max="10500" width="9.140625" style="247"/>
    <col min="10501" max="10501" width="10.28515625" style="247" customWidth="1"/>
    <col min="10502" max="10502" width="11.7109375" style="247" customWidth="1"/>
    <col min="10503" max="10503" width="15.85546875" style="247" customWidth="1"/>
    <col min="10504" max="10753" width="9.140625" style="247"/>
    <col min="10754" max="10754" width="17.5703125" style="247" customWidth="1"/>
    <col min="10755" max="10755" width="47.5703125" style="247" customWidth="1"/>
    <col min="10756" max="10756" width="9.140625" style="247"/>
    <col min="10757" max="10757" width="10.28515625" style="247" customWidth="1"/>
    <col min="10758" max="10758" width="11.7109375" style="247" customWidth="1"/>
    <col min="10759" max="10759" width="15.85546875" style="247" customWidth="1"/>
    <col min="10760" max="11009" width="9.140625" style="247"/>
    <col min="11010" max="11010" width="17.5703125" style="247" customWidth="1"/>
    <col min="11011" max="11011" width="47.5703125" style="247" customWidth="1"/>
    <col min="11012" max="11012" width="9.140625" style="247"/>
    <col min="11013" max="11013" width="10.28515625" style="247" customWidth="1"/>
    <col min="11014" max="11014" width="11.7109375" style="247" customWidth="1"/>
    <col min="11015" max="11015" width="15.85546875" style="247" customWidth="1"/>
    <col min="11016" max="11265" width="9.140625" style="247"/>
    <col min="11266" max="11266" width="17.5703125" style="247" customWidth="1"/>
    <col min="11267" max="11267" width="47.5703125" style="247" customWidth="1"/>
    <col min="11268" max="11268" width="9.140625" style="247"/>
    <col min="11269" max="11269" width="10.28515625" style="247" customWidth="1"/>
    <col min="11270" max="11270" width="11.7109375" style="247" customWidth="1"/>
    <col min="11271" max="11271" width="15.85546875" style="247" customWidth="1"/>
    <col min="11272" max="11521" width="9.140625" style="247"/>
    <col min="11522" max="11522" width="17.5703125" style="247" customWidth="1"/>
    <col min="11523" max="11523" width="47.5703125" style="247" customWidth="1"/>
    <col min="11524" max="11524" width="9.140625" style="247"/>
    <col min="11525" max="11525" width="10.28515625" style="247" customWidth="1"/>
    <col min="11526" max="11526" width="11.7109375" style="247" customWidth="1"/>
    <col min="11527" max="11527" width="15.85546875" style="247" customWidth="1"/>
    <col min="11528" max="11777" width="9.140625" style="247"/>
    <col min="11778" max="11778" width="17.5703125" style="247" customWidth="1"/>
    <col min="11779" max="11779" width="47.5703125" style="247" customWidth="1"/>
    <col min="11780" max="11780" width="9.140625" style="247"/>
    <col min="11781" max="11781" width="10.28515625" style="247" customWidth="1"/>
    <col min="11782" max="11782" width="11.7109375" style="247" customWidth="1"/>
    <col min="11783" max="11783" width="15.85546875" style="247" customWidth="1"/>
    <col min="11784" max="12033" width="9.140625" style="247"/>
    <col min="12034" max="12034" width="17.5703125" style="247" customWidth="1"/>
    <col min="12035" max="12035" width="47.5703125" style="247" customWidth="1"/>
    <col min="12036" max="12036" width="9.140625" style="247"/>
    <col min="12037" max="12037" width="10.28515625" style="247" customWidth="1"/>
    <col min="12038" max="12038" width="11.7109375" style="247" customWidth="1"/>
    <col min="12039" max="12039" width="15.85546875" style="247" customWidth="1"/>
    <col min="12040" max="12289" width="9.140625" style="247"/>
    <col min="12290" max="12290" width="17.5703125" style="247" customWidth="1"/>
    <col min="12291" max="12291" width="47.5703125" style="247" customWidth="1"/>
    <col min="12292" max="12292" width="9.140625" style="247"/>
    <col min="12293" max="12293" width="10.28515625" style="247" customWidth="1"/>
    <col min="12294" max="12294" width="11.7109375" style="247" customWidth="1"/>
    <col min="12295" max="12295" width="15.85546875" style="247" customWidth="1"/>
    <col min="12296" max="12545" width="9.140625" style="247"/>
    <col min="12546" max="12546" width="17.5703125" style="247" customWidth="1"/>
    <col min="12547" max="12547" width="47.5703125" style="247" customWidth="1"/>
    <col min="12548" max="12548" width="9.140625" style="247"/>
    <col min="12549" max="12549" width="10.28515625" style="247" customWidth="1"/>
    <col min="12550" max="12550" width="11.7109375" style="247" customWidth="1"/>
    <col min="12551" max="12551" width="15.85546875" style="247" customWidth="1"/>
    <col min="12552" max="12801" width="9.140625" style="247"/>
    <col min="12802" max="12802" width="17.5703125" style="247" customWidth="1"/>
    <col min="12803" max="12803" width="47.5703125" style="247" customWidth="1"/>
    <col min="12804" max="12804" width="9.140625" style="247"/>
    <col min="12805" max="12805" width="10.28515625" style="247" customWidth="1"/>
    <col min="12806" max="12806" width="11.7109375" style="247" customWidth="1"/>
    <col min="12807" max="12807" width="15.85546875" style="247" customWidth="1"/>
    <col min="12808" max="13057" width="9.140625" style="247"/>
    <col min="13058" max="13058" width="17.5703125" style="247" customWidth="1"/>
    <col min="13059" max="13059" width="47.5703125" style="247" customWidth="1"/>
    <col min="13060" max="13060" width="9.140625" style="247"/>
    <col min="13061" max="13061" width="10.28515625" style="247" customWidth="1"/>
    <col min="13062" max="13062" width="11.7109375" style="247" customWidth="1"/>
    <col min="13063" max="13063" width="15.85546875" style="247" customWidth="1"/>
    <col min="13064" max="13313" width="9.140625" style="247"/>
    <col min="13314" max="13314" width="17.5703125" style="247" customWidth="1"/>
    <col min="13315" max="13315" width="47.5703125" style="247" customWidth="1"/>
    <col min="13316" max="13316" width="9.140625" style="247"/>
    <col min="13317" max="13317" width="10.28515625" style="247" customWidth="1"/>
    <col min="13318" max="13318" width="11.7109375" style="247" customWidth="1"/>
    <col min="13319" max="13319" width="15.85546875" style="247" customWidth="1"/>
    <col min="13320" max="13569" width="9.140625" style="247"/>
    <col min="13570" max="13570" width="17.5703125" style="247" customWidth="1"/>
    <col min="13571" max="13571" width="47.5703125" style="247" customWidth="1"/>
    <col min="13572" max="13572" width="9.140625" style="247"/>
    <col min="13573" max="13573" width="10.28515625" style="247" customWidth="1"/>
    <col min="13574" max="13574" width="11.7109375" style="247" customWidth="1"/>
    <col min="13575" max="13575" width="15.85546875" style="247" customWidth="1"/>
    <col min="13576" max="13825" width="9.140625" style="247"/>
    <col min="13826" max="13826" width="17.5703125" style="247" customWidth="1"/>
    <col min="13827" max="13827" width="47.5703125" style="247" customWidth="1"/>
    <col min="13828" max="13828" width="9.140625" style="247"/>
    <col min="13829" max="13829" width="10.28515625" style="247" customWidth="1"/>
    <col min="13830" max="13830" width="11.7109375" style="247" customWidth="1"/>
    <col min="13831" max="13831" width="15.85546875" style="247" customWidth="1"/>
    <col min="13832" max="14081" width="9.140625" style="247"/>
    <col min="14082" max="14082" width="17.5703125" style="247" customWidth="1"/>
    <col min="14083" max="14083" width="47.5703125" style="247" customWidth="1"/>
    <col min="14084" max="14084" width="9.140625" style="247"/>
    <col min="14085" max="14085" width="10.28515625" style="247" customWidth="1"/>
    <col min="14086" max="14086" width="11.7109375" style="247" customWidth="1"/>
    <col min="14087" max="14087" width="15.85546875" style="247" customWidth="1"/>
    <col min="14088" max="14337" width="9.140625" style="247"/>
    <col min="14338" max="14338" width="17.5703125" style="247" customWidth="1"/>
    <col min="14339" max="14339" width="47.5703125" style="247" customWidth="1"/>
    <col min="14340" max="14340" width="9.140625" style="247"/>
    <col min="14341" max="14341" width="10.28515625" style="247" customWidth="1"/>
    <col min="14342" max="14342" width="11.7109375" style="247" customWidth="1"/>
    <col min="14343" max="14343" width="15.85546875" style="247" customWidth="1"/>
    <col min="14344" max="14593" width="9.140625" style="247"/>
    <col min="14594" max="14594" width="17.5703125" style="247" customWidth="1"/>
    <col min="14595" max="14595" width="47.5703125" style="247" customWidth="1"/>
    <col min="14596" max="14596" width="9.140625" style="247"/>
    <col min="14597" max="14597" width="10.28515625" style="247" customWidth="1"/>
    <col min="14598" max="14598" width="11.7109375" style="247" customWidth="1"/>
    <col min="14599" max="14599" width="15.85546875" style="247" customWidth="1"/>
    <col min="14600" max="14849" width="9.140625" style="247"/>
    <col min="14850" max="14850" width="17.5703125" style="247" customWidth="1"/>
    <col min="14851" max="14851" width="47.5703125" style="247" customWidth="1"/>
    <col min="14852" max="14852" width="9.140625" style="247"/>
    <col min="14853" max="14853" width="10.28515625" style="247" customWidth="1"/>
    <col min="14854" max="14854" width="11.7109375" style="247" customWidth="1"/>
    <col min="14855" max="14855" width="15.85546875" style="247" customWidth="1"/>
    <col min="14856" max="15105" width="9.140625" style="247"/>
    <col min="15106" max="15106" width="17.5703125" style="247" customWidth="1"/>
    <col min="15107" max="15107" width="47.5703125" style="247" customWidth="1"/>
    <col min="15108" max="15108" width="9.140625" style="247"/>
    <col min="15109" max="15109" width="10.28515625" style="247" customWidth="1"/>
    <col min="15110" max="15110" width="11.7109375" style="247" customWidth="1"/>
    <col min="15111" max="15111" width="15.85546875" style="247" customWidth="1"/>
    <col min="15112" max="15361" width="9.140625" style="247"/>
    <col min="15362" max="15362" width="17.5703125" style="247" customWidth="1"/>
    <col min="15363" max="15363" width="47.5703125" style="247" customWidth="1"/>
    <col min="15364" max="15364" width="9.140625" style="247"/>
    <col min="15365" max="15365" width="10.28515625" style="247" customWidth="1"/>
    <col min="15366" max="15366" width="11.7109375" style="247" customWidth="1"/>
    <col min="15367" max="15367" width="15.85546875" style="247" customWidth="1"/>
    <col min="15368" max="15617" width="9.140625" style="247"/>
    <col min="15618" max="15618" width="17.5703125" style="247" customWidth="1"/>
    <col min="15619" max="15619" width="47.5703125" style="247" customWidth="1"/>
    <col min="15620" max="15620" width="9.140625" style="247"/>
    <col min="15621" max="15621" width="10.28515625" style="247" customWidth="1"/>
    <col min="15622" max="15622" width="11.7109375" style="247" customWidth="1"/>
    <col min="15623" max="15623" width="15.85546875" style="247" customWidth="1"/>
    <col min="15624" max="15873" width="9.140625" style="247"/>
    <col min="15874" max="15874" width="17.5703125" style="247" customWidth="1"/>
    <col min="15875" max="15875" width="47.5703125" style="247" customWidth="1"/>
    <col min="15876" max="15876" width="9.140625" style="247"/>
    <col min="15877" max="15877" width="10.28515625" style="247" customWidth="1"/>
    <col min="15878" max="15878" width="11.7109375" style="247" customWidth="1"/>
    <col min="15879" max="15879" width="15.85546875" style="247" customWidth="1"/>
    <col min="15880" max="16129" width="9.140625" style="247"/>
    <col min="16130" max="16130" width="17.5703125" style="247" customWidth="1"/>
    <col min="16131" max="16131" width="47.5703125" style="247" customWidth="1"/>
    <col min="16132" max="16132" width="9.140625" style="247"/>
    <col min="16133" max="16133" width="10.28515625" style="247" customWidth="1"/>
    <col min="16134" max="16134" width="11.7109375" style="247" customWidth="1"/>
    <col min="16135" max="16135" width="15.85546875" style="247" customWidth="1"/>
    <col min="16136" max="16384" width="9.140625" style="247"/>
  </cols>
  <sheetData>
    <row r="1" spans="1:23" s="7" customFormat="1" x14ac:dyDescent="0.2"/>
    <row r="2" spans="1:23" s="248" customFormat="1" ht="15" x14ac:dyDescent="0.25">
      <c r="A2" s="286" t="s">
        <v>173</v>
      </c>
      <c r="B2" s="287"/>
      <c r="C2" s="287"/>
      <c r="D2" s="287"/>
      <c r="E2" s="287"/>
      <c r="F2" s="287"/>
      <c r="G2" s="287"/>
      <c r="H2" s="287"/>
      <c r="I2" s="288"/>
    </row>
    <row r="3" spans="1:23" s="7" customFormat="1" x14ac:dyDescent="0.2"/>
    <row r="4" spans="1:23" s="7" customFormat="1" ht="12.75" customHeight="1" x14ac:dyDescent="0.2">
      <c r="A4" s="186" t="e">
        <f>#REF!</f>
        <v>#REF!</v>
      </c>
      <c r="B4" s="187"/>
      <c r="C4" s="187"/>
      <c r="D4" s="187"/>
      <c r="E4" s="187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3" s="7" customFormat="1" x14ac:dyDescent="0.2">
      <c r="A5" s="186" t="e">
        <f>#REF!</f>
        <v>#REF!</v>
      </c>
      <c r="B5" s="189"/>
      <c r="C5" s="189"/>
      <c r="D5" s="189"/>
      <c r="E5" s="189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</row>
    <row r="6" spans="1:23" s="7" customFormat="1" x14ac:dyDescent="0.2">
      <c r="A6" s="191" t="e">
        <f>#REF!</f>
        <v>#REF!</v>
      </c>
      <c r="B6" s="189"/>
      <c r="C6" s="189"/>
      <c r="D6" s="189"/>
      <c r="E6" s="189"/>
      <c r="L6" s="192" t="s">
        <v>174</v>
      </c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 s="7" customFormat="1" x14ac:dyDescent="0.2"/>
    <row r="8" spans="1:23" s="7" customFormat="1" x14ac:dyDescent="0.2">
      <c r="A8" s="272" t="s">
        <v>343</v>
      </c>
      <c r="B8" s="273"/>
      <c r="C8" s="273"/>
      <c r="D8" s="273"/>
      <c r="E8" s="273"/>
      <c r="F8" s="273"/>
      <c r="G8" s="273"/>
      <c r="H8" s="273"/>
      <c r="I8" s="274"/>
    </row>
    <row r="9" spans="1:23" s="7" customFormat="1" ht="13.5" customHeight="1" x14ac:dyDescent="0.2">
      <c r="A9" s="275"/>
      <c r="B9" s="276"/>
      <c r="C9" s="276"/>
      <c r="D9" s="276"/>
      <c r="E9" s="276"/>
      <c r="F9" s="276"/>
      <c r="G9" s="276"/>
      <c r="H9" s="276"/>
      <c r="I9" s="277"/>
    </row>
    <row r="10" spans="1:23" s="7" customFormat="1" ht="10.15" customHeight="1" x14ac:dyDescent="0.2">
      <c r="A10" s="278" t="s">
        <v>198</v>
      </c>
      <c r="B10" s="278"/>
      <c r="C10" s="193" t="s">
        <v>175</v>
      </c>
      <c r="D10" s="280"/>
      <c r="E10" s="280"/>
      <c r="F10" s="280"/>
      <c r="G10" s="280"/>
      <c r="H10" s="280"/>
      <c r="I10" s="280"/>
    </row>
    <row r="11" spans="1:23" s="7" customFormat="1" ht="11.25" customHeight="1" x14ac:dyDescent="0.2">
      <c r="A11" s="279"/>
      <c r="B11" s="279"/>
      <c r="C11" s="281" t="s">
        <v>176</v>
      </c>
      <c r="D11" s="282" t="s">
        <v>343</v>
      </c>
      <c r="E11" s="282"/>
      <c r="F11" s="282"/>
      <c r="G11" s="282"/>
      <c r="H11" s="282"/>
      <c r="I11" s="282"/>
    </row>
    <row r="12" spans="1:23" s="7" customFormat="1" ht="11.25" customHeight="1" x14ac:dyDescent="0.2">
      <c r="A12" s="279"/>
      <c r="B12" s="279"/>
      <c r="C12" s="281"/>
      <c r="D12" s="282"/>
      <c r="E12" s="282"/>
      <c r="F12" s="282"/>
      <c r="G12" s="282"/>
      <c r="H12" s="282"/>
      <c r="I12" s="282"/>
    </row>
    <row r="13" spans="1:23" s="7" customFormat="1" ht="11.25" customHeight="1" x14ac:dyDescent="0.2">
      <c r="A13" s="279"/>
      <c r="B13" s="279"/>
      <c r="C13" s="281"/>
      <c r="D13" s="282"/>
      <c r="E13" s="283"/>
      <c r="F13" s="283"/>
      <c r="G13" s="283"/>
      <c r="H13" s="283"/>
      <c r="I13" s="283"/>
    </row>
    <row r="14" spans="1:23" s="7" customFormat="1" ht="10.15" customHeight="1" x14ac:dyDescent="0.2">
      <c r="A14" s="279"/>
      <c r="B14" s="279"/>
      <c r="C14" s="194" t="s">
        <v>177</v>
      </c>
      <c r="D14" s="195" t="s">
        <v>100</v>
      </c>
      <c r="E14" s="284" t="s">
        <v>178</v>
      </c>
      <c r="F14" s="270">
        <f>G20</f>
        <v>39220.6</v>
      </c>
      <c r="G14" s="270"/>
      <c r="H14" s="271">
        <f>I20</f>
        <v>42602.14</v>
      </c>
      <c r="I14" s="271"/>
    </row>
    <row r="15" spans="1:23" s="7" customFormat="1" ht="14.45" customHeight="1" x14ac:dyDescent="0.2">
      <c r="A15" s="279"/>
      <c r="B15" s="279"/>
      <c r="C15" s="194" t="s">
        <v>179</v>
      </c>
      <c r="D15" s="195">
        <v>1</v>
      </c>
      <c r="E15" s="285"/>
      <c r="F15" s="270"/>
      <c r="G15" s="270"/>
      <c r="H15" s="271"/>
      <c r="I15" s="271"/>
      <c r="L15" s="196"/>
      <c r="M15" s="196"/>
    </row>
    <row r="16" spans="1:23" s="7" customFormat="1" x14ac:dyDescent="0.2">
      <c r="A16" s="3"/>
      <c r="B16" s="3"/>
      <c r="C16" s="4"/>
      <c r="D16" s="5"/>
      <c r="E16" s="127"/>
      <c r="F16" s="268" t="s">
        <v>180</v>
      </c>
      <c r="G16" s="268"/>
      <c r="H16" s="269" t="s">
        <v>181</v>
      </c>
      <c r="I16" s="269"/>
    </row>
    <row r="17" spans="1:13" s="204" customFormat="1" ht="24" x14ac:dyDescent="0.25">
      <c r="A17" s="197" t="s">
        <v>182</v>
      </c>
      <c r="B17" s="197" t="s">
        <v>183</v>
      </c>
      <c r="C17" s="198" t="s">
        <v>96</v>
      </c>
      <c r="D17" s="199" t="s">
        <v>177</v>
      </c>
      <c r="E17" s="200" t="s">
        <v>184</v>
      </c>
      <c r="F17" s="201" t="s">
        <v>185</v>
      </c>
      <c r="G17" s="202" t="s">
        <v>186</v>
      </c>
      <c r="H17" s="203" t="s">
        <v>185</v>
      </c>
      <c r="I17" s="202" t="s">
        <v>186</v>
      </c>
    </row>
    <row r="18" spans="1:13" s="7" customFormat="1" x14ac:dyDescent="0.2">
      <c r="A18" s="205" t="s">
        <v>53</v>
      </c>
      <c r="B18" s="205" t="s">
        <v>344</v>
      </c>
      <c r="C18" s="206" t="s">
        <v>346</v>
      </c>
      <c r="D18" s="207" t="s">
        <v>347</v>
      </c>
      <c r="E18" s="208">
        <f>12/4</f>
        <v>3</v>
      </c>
      <c r="F18" s="209" t="s">
        <v>356</v>
      </c>
      <c r="G18" s="210">
        <f>TRUNC($E18*F18,2)</f>
        <v>17733.48</v>
      </c>
      <c r="H18" s="211" t="s">
        <v>356</v>
      </c>
      <c r="I18" s="212">
        <f>TRUNC($E18*H18,2)</f>
        <v>17733.48</v>
      </c>
      <c r="J18" s="7">
        <f>1300000</f>
        <v>1300000</v>
      </c>
      <c r="K18" s="7">
        <f>J18*0.03</f>
        <v>39000</v>
      </c>
      <c r="L18" s="196"/>
      <c r="M18" s="196"/>
    </row>
    <row r="19" spans="1:13" s="7" customFormat="1" ht="24" x14ac:dyDescent="0.2">
      <c r="A19" s="205" t="s">
        <v>53</v>
      </c>
      <c r="B19" s="213" t="s">
        <v>345</v>
      </c>
      <c r="C19" s="206" t="s">
        <v>348</v>
      </c>
      <c r="D19" s="207" t="s">
        <v>347</v>
      </c>
      <c r="E19" s="208">
        <f>12/10</f>
        <v>1.2</v>
      </c>
      <c r="F19" s="209" t="s">
        <v>357</v>
      </c>
      <c r="G19" s="210">
        <f t="shared" ref="G19" si="0">TRUNC($E19*F19,2)</f>
        <v>21487.119999999999</v>
      </c>
      <c r="H19" s="211" t="s">
        <v>358</v>
      </c>
      <c r="I19" s="212">
        <f t="shared" ref="I19" si="1">TRUNC($E19*H19,2)</f>
        <v>24868.66</v>
      </c>
      <c r="J19" s="214">
        <f>1150000</f>
        <v>1150000</v>
      </c>
      <c r="L19" s="196"/>
      <c r="M19" s="196"/>
    </row>
    <row r="20" spans="1:13" s="7" customFormat="1" ht="14.45" customHeight="1" x14ac:dyDescent="0.2">
      <c r="A20" s="215"/>
      <c r="B20" s="215"/>
      <c r="C20" s="215"/>
      <c r="D20" s="215"/>
      <c r="E20" s="215"/>
      <c r="F20" s="216" t="s">
        <v>195</v>
      </c>
      <c r="G20" s="216">
        <f>TRUNC(SUM(G18:G19),2)</f>
        <v>39220.6</v>
      </c>
      <c r="H20" s="216" t="s">
        <v>195</v>
      </c>
      <c r="I20" s="216">
        <f>TRUNC(SUM(I18:I19),2)</f>
        <v>42602.14</v>
      </c>
      <c r="J20" s="217">
        <f>J19*0.04</f>
        <v>46000</v>
      </c>
      <c r="L20" s="196"/>
      <c r="M20" s="196"/>
    </row>
    <row r="21" spans="1:13" s="7" customFormat="1" x14ac:dyDescent="0.2">
      <c r="A21" s="218"/>
      <c r="B21" s="218"/>
      <c r="C21" s="218"/>
      <c r="D21" s="218"/>
      <c r="E21" s="218"/>
      <c r="F21" s="219"/>
      <c r="G21" s="219"/>
      <c r="H21" s="219"/>
      <c r="I21" s="219"/>
    </row>
    <row r="22" spans="1:13" s="7" customFormat="1" ht="15.75" customHeight="1" x14ac:dyDescent="0.2">
      <c r="A22" s="272" t="s">
        <v>381</v>
      </c>
      <c r="B22" s="273"/>
      <c r="C22" s="273"/>
      <c r="D22" s="273"/>
      <c r="E22" s="273"/>
      <c r="F22" s="273"/>
      <c r="G22" s="273"/>
      <c r="H22" s="273"/>
      <c r="I22" s="274"/>
    </row>
    <row r="23" spans="1:13" s="7" customFormat="1" ht="13.5" customHeight="1" x14ac:dyDescent="0.2">
      <c r="A23" s="275"/>
      <c r="B23" s="276"/>
      <c r="C23" s="276"/>
      <c r="D23" s="276"/>
      <c r="E23" s="276"/>
      <c r="F23" s="276"/>
      <c r="G23" s="276"/>
      <c r="H23" s="276"/>
      <c r="I23" s="277"/>
    </row>
    <row r="24" spans="1:13" s="7" customFormat="1" ht="10.15" customHeight="1" x14ac:dyDescent="0.2">
      <c r="A24" s="278" t="s">
        <v>203</v>
      </c>
      <c r="B24" s="278"/>
      <c r="C24" s="193" t="s">
        <v>175</v>
      </c>
      <c r="D24" s="280" t="s">
        <v>259</v>
      </c>
      <c r="E24" s="280"/>
      <c r="F24" s="280"/>
      <c r="G24" s="280"/>
      <c r="H24" s="280"/>
      <c r="I24" s="280"/>
    </row>
    <row r="25" spans="1:13" s="7" customFormat="1" ht="11.25" customHeight="1" x14ac:dyDescent="0.2">
      <c r="A25" s="279"/>
      <c r="B25" s="279"/>
      <c r="C25" s="281" t="s">
        <v>176</v>
      </c>
      <c r="D25" s="282" t="s">
        <v>258</v>
      </c>
      <c r="E25" s="282"/>
      <c r="F25" s="282"/>
      <c r="G25" s="282"/>
      <c r="H25" s="282"/>
      <c r="I25" s="282"/>
    </row>
    <row r="26" spans="1:13" s="7" customFormat="1" ht="11.25" customHeight="1" x14ac:dyDescent="0.2">
      <c r="A26" s="279"/>
      <c r="B26" s="279"/>
      <c r="C26" s="281"/>
      <c r="D26" s="282"/>
      <c r="E26" s="282"/>
      <c r="F26" s="282"/>
      <c r="G26" s="282"/>
      <c r="H26" s="282"/>
      <c r="I26" s="282"/>
    </row>
    <row r="27" spans="1:13" s="7" customFormat="1" ht="11.25" customHeight="1" x14ac:dyDescent="0.2">
      <c r="A27" s="279"/>
      <c r="B27" s="279"/>
      <c r="C27" s="281"/>
      <c r="D27" s="282"/>
      <c r="E27" s="283"/>
      <c r="F27" s="283"/>
      <c r="G27" s="283"/>
      <c r="H27" s="283"/>
      <c r="I27" s="283"/>
    </row>
    <row r="28" spans="1:13" s="7" customFormat="1" ht="10.15" customHeight="1" x14ac:dyDescent="0.2">
      <c r="A28" s="279"/>
      <c r="B28" s="279"/>
      <c r="C28" s="194" t="s">
        <v>177</v>
      </c>
      <c r="D28" s="195" t="s">
        <v>102</v>
      </c>
      <c r="E28" s="284" t="s">
        <v>178</v>
      </c>
      <c r="F28" s="270">
        <f>G39</f>
        <v>144.68</v>
      </c>
      <c r="G28" s="270"/>
      <c r="H28" s="271">
        <f>I39</f>
        <v>156.30000000000001</v>
      </c>
      <c r="I28" s="271"/>
    </row>
    <row r="29" spans="1:13" s="7" customFormat="1" ht="14.45" customHeight="1" x14ac:dyDescent="0.2">
      <c r="A29" s="279"/>
      <c r="B29" s="279"/>
      <c r="C29" s="194" t="s">
        <v>179</v>
      </c>
      <c r="D29" s="195">
        <v>1</v>
      </c>
      <c r="E29" s="285"/>
      <c r="F29" s="270"/>
      <c r="G29" s="270"/>
      <c r="H29" s="271"/>
      <c r="I29" s="271"/>
      <c r="L29" s="196"/>
      <c r="M29" s="196"/>
    </row>
    <row r="30" spans="1:13" s="7" customFormat="1" x14ac:dyDescent="0.2">
      <c r="A30" s="3"/>
      <c r="B30" s="3"/>
      <c r="C30" s="4"/>
      <c r="D30" s="5"/>
      <c r="E30" s="127"/>
      <c r="F30" s="268" t="s">
        <v>180</v>
      </c>
      <c r="G30" s="268"/>
      <c r="H30" s="269" t="s">
        <v>181</v>
      </c>
      <c r="I30" s="269"/>
    </row>
    <row r="31" spans="1:13" s="204" customFormat="1" ht="24" x14ac:dyDescent="0.25">
      <c r="A31" s="197" t="s">
        <v>182</v>
      </c>
      <c r="B31" s="197" t="s">
        <v>183</v>
      </c>
      <c r="C31" s="198" t="s">
        <v>96</v>
      </c>
      <c r="D31" s="199" t="s">
        <v>177</v>
      </c>
      <c r="E31" s="200" t="s">
        <v>184</v>
      </c>
      <c r="F31" s="201" t="s">
        <v>185</v>
      </c>
      <c r="G31" s="202" t="s">
        <v>186</v>
      </c>
      <c r="H31" s="203" t="s">
        <v>185</v>
      </c>
      <c r="I31" s="202" t="s">
        <v>186</v>
      </c>
    </row>
    <row r="32" spans="1:13" s="7" customFormat="1" ht="24" x14ac:dyDescent="0.2">
      <c r="A32" s="220" t="s">
        <v>190</v>
      </c>
      <c r="B32" s="221" t="s">
        <v>206</v>
      </c>
      <c r="C32" s="206" t="s">
        <v>207</v>
      </c>
      <c r="D32" s="207" t="s">
        <v>97</v>
      </c>
      <c r="E32" s="222">
        <v>2.2000000000000002</v>
      </c>
      <c r="F32" s="209">
        <v>6.96</v>
      </c>
      <c r="G32" s="223">
        <f t="shared" ref="G32:G38" si="2">TRUNC($E32*F32,2)</f>
        <v>15.31</v>
      </c>
      <c r="H32" s="224">
        <v>7.79</v>
      </c>
      <c r="I32" s="212">
        <f t="shared" ref="I32:I38" si="3">TRUNC($E32*H32,2)</f>
        <v>17.13</v>
      </c>
      <c r="L32" s="196"/>
      <c r="M32" s="196"/>
    </row>
    <row r="33" spans="1:13" s="7" customFormat="1" ht="24" x14ac:dyDescent="0.2">
      <c r="A33" s="220" t="s">
        <v>190</v>
      </c>
      <c r="B33" s="221" t="s">
        <v>208</v>
      </c>
      <c r="C33" s="206" t="s">
        <v>209</v>
      </c>
      <c r="D33" s="207" t="s">
        <v>102</v>
      </c>
      <c r="E33" s="222">
        <v>1</v>
      </c>
      <c r="F33" s="209">
        <v>4.6100000000000003</v>
      </c>
      <c r="G33" s="223">
        <f t="shared" si="2"/>
        <v>4.6100000000000003</v>
      </c>
      <c r="H33" s="225">
        <v>5.16</v>
      </c>
      <c r="I33" s="212">
        <f t="shared" si="3"/>
        <v>5.16</v>
      </c>
      <c r="L33" s="196"/>
      <c r="M33" s="196"/>
    </row>
    <row r="34" spans="1:13" s="7" customFormat="1" ht="36" x14ac:dyDescent="0.2">
      <c r="A34" s="220" t="s">
        <v>190</v>
      </c>
      <c r="B34" s="221" t="s">
        <v>210</v>
      </c>
      <c r="C34" s="206" t="s">
        <v>211</v>
      </c>
      <c r="D34" s="207" t="s">
        <v>97</v>
      </c>
      <c r="E34" s="222">
        <v>2.2000000000000002</v>
      </c>
      <c r="F34" s="209">
        <v>13.25</v>
      </c>
      <c r="G34" s="223">
        <f t="shared" si="2"/>
        <v>29.15</v>
      </c>
      <c r="H34" s="225">
        <v>14.55</v>
      </c>
      <c r="I34" s="212">
        <f t="shared" si="3"/>
        <v>32.01</v>
      </c>
      <c r="L34" s="196"/>
      <c r="M34" s="196"/>
    </row>
    <row r="35" spans="1:13" s="7" customFormat="1" ht="36" x14ac:dyDescent="0.2">
      <c r="A35" s="220" t="s">
        <v>190</v>
      </c>
      <c r="B35" s="221" t="s">
        <v>261</v>
      </c>
      <c r="C35" s="206" t="s">
        <v>262</v>
      </c>
      <c r="D35" s="207" t="s">
        <v>97</v>
      </c>
      <c r="E35" s="222">
        <v>2.2000000000000002</v>
      </c>
      <c r="F35" s="209">
        <v>8.7799999999999994</v>
      </c>
      <c r="G35" s="223">
        <f t="shared" si="2"/>
        <v>19.309999999999999</v>
      </c>
      <c r="H35" s="225">
        <v>9.4700000000000006</v>
      </c>
      <c r="I35" s="212">
        <f t="shared" si="3"/>
        <v>20.83</v>
      </c>
      <c r="L35" s="196"/>
      <c r="M35" s="196"/>
    </row>
    <row r="36" spans="1:13" s="7" customFormat="1" ht="36" x14ac:dyDescent="0.2">
      <c r="A36" s="220" t="s">
        <v>190</v>
      </c>
      <c r="B36" s="221" t="s">
        <v>221</v>
      </c>
      <c r="C36" s="206" t="s">
        <v>222</v>
      </c>
      <c r="D36" s="207" t="s">
        <v>97</v>
      </c>
      <c r="E36" s="222">
        <v>4.4000000000000004</v>
      </c>
      <c r="F36" s="209">
        <v>3.75</v>
      </c>
      <c r="G36" s="223">
        <f t="shared" si="2"/>
        <v>16.5</v>
      </c>
      <c r="H36" s="225">
        <v>3.89</v>
      </c>
      <c r="I36" s="212">
        <f t="shared" si="3"/>
        <v>17.11</v>
      </c>
      <c r="L36" s="196"/>
      <c r="M36" s="196"/>
    </row>
    <row r="37" spans="1:13" s="7" customFormat="1" ht="24" x14ac:dyDescent="0.2">
      <c r="A37" s="220" t="s">
        <v>190</v>
      </c>
      <c r="B37" s="221" t="s">
        <v>214</v>
      </c>
      <c r="C37" s="206" t="s">
        <v>215</v>
      </c>
      <c r="D37" s="207" t="s">
        <v>102</v>
      </c>
      <c r="E37" s="222">
        <v>1</v>
      </c>
      <c r="F37" s="209">
        <v>16.760000000000002</v>
      </c>
      <c r="G37" s="223">
        <f t="shared" si="2"/>
        <v>16.760000000000002</v>
      </c>
      <c r="H37" s="225">
        <v>18.29</v>
      </c>
      <c r="I37" s="212">
        <f t="shared" si="3"/>
        <v>18.29</v>
      </c>
      <c r="L37" s="196"/>
      <c r="M37" s="196"/>
    </row>
    <row r="38" spans="1:13" s="7" customFormat="1" ht="24" x14ac:dyDescent="0.2">
      <c r="A38" s="220" t="s">
        <v>190</v>
      </c>
      <c r="B38" s="226" t="s">
        <v>379</v>
      </c>
      <c r="C38" s="227" t="s">
        <v>380</v>
      </c>
      <c r="D38" s="207" t="s">
        <v>102</v>
      </c>
      <c r="E38" s="222">
        <v>1</v>
      </c>
      <c r="F38" s="209">
        <v>43.04</v>
      </c>
      <c r="G38" s="223">
        <f t="shared" si="2"/>
        <v>43.04</v>
      </c>
      <c r="H38" s="225">
        <v>45.77</v>
      </c>
      <c r="I38" s="212">
        <f t="shared" si="3"/>
        <v>45.77</v>
      </c>
      <c r="L38" s="196"/>
      <c r="M38" s="196"/>
    </row>
    <row r="39" spans="1:13" s="7" customFormat="1" ht="14.45" customHeight="1" x14ac:dyDescent="0.2">
      <c r="A39" s="215"/>
      <c r="B39" s="215"/>
      <c r="C39" s="215"/>
      <c r="D39" s="215"/>
      <c r="E39" s="215"/>
      <c r="F39" s="216" t="s">
        <v>195</v>
      </c>
      <c r="G39" s="216">
        <f>TRUNC(SUM(G32:G38),2)</f>
        <v>144.68</v>
      </c>
      <c r="H39" s="216" t="s">
        <v>195</v>
      </c>
      <c r="I39" s="216">
        <f>TRUNC(SUM(I32:I38),2)</f>
        <v>156.30000000000001</v>
      </c>
      <c r="J39" s="217"/>
      <c r="L39" s="196"/>
      <c r="M39" s="196"/>
    </row>
    <row r="40" spans="1:13" s="7" customFormat="1" x14ac:dyDescent="0.2">
      <c r="A40" s="218"/>
      <c r="B40" s="218"/>
      <c r="C40" s="218"/>
      <c r="D40" s="218"/>
      <c r="E40" s="218"/>
      <c r="F40" s="219"/>
      <c r="G40" s="219"/>
      <c r="H40" s="219"/>
      <c r="I40" s="219"/>
    </row>
    <row r="41" spans="1:13" s="7" customFormat="1" x14ac:dyDescent="0.2">
      <c r="A41" s="272" t="s">
        <v>244</v>
      </c>
      <c r="B41" s="273"/>
      <c r="C41" s="273"/>
      <c r="D41" s="273"/>
      <c r="E41" s="273"/>
      <c r="F41" s="273"/>
      <c r="G41" s="273"/>
      <c r="H41" s="273"/>
      <c r="I41" s="274"/>
    </row>
    <row r="42" spans="1:13" s="7" customFormat="1" ht="13.5" customHeight="1" x14ac:dyDescent="0.2">
      <c r="A42" s="275"/>
      <c r="B42" s="276"/>
      <c r="C42" s="276"/>
      <c r="D42" s="276"/>
      <c r="E42" s="276"/>
      <c r="F42" s="276"/>
      <c r="G42" s="276"/>
      <c r="H42" s="276"/>
      <c r="I42" s="277"/>
    </row>
    <row r="43" spans="1:13" s="7" customFormat="1" ht="10.15" customHeight="1" x14ac:dyDescent="0.2">
      <c r="A43" s="278" t="s">
        <v>196</v>
      </c>
      <c r="B43" s="278"/>
      <c r="C43" s="193" t="s">
        <v>175</v>
      </c>
      <c r="D43" s="280" t="s">
        <v>242</v>
      </c>
      <c r="E43" s="280"/>
      <c r="F43" s="280"/>
      <c r="G43" s="280"/>
      <c r="H43" s="280"/>
      <c r="I43" s="280"/>
    </row>
    <row r="44" spans="1:13" s="7" customFormat="1" ht="11.25" customHeight="1" x14ac:dyDescent="0.2">
      <c r="A44" s="279"/>
      <c r="B44" s="279"/>
      <c r="C44" s="281" t="s">
        <v>176</v>
      </c>
      <c r="D44" s="282" t="s">
        <v>243</v>
      </c>
      <c r="E44" s="282"/>
      <c r="F44" s="282"/>
      <c r="G44" s="282"/>
      <c r="H44" s="282"/>
      <c r="I44" s="282"/>
    </row>
    <row r="45" spans="1:13" s="7" customFormat="1" ht="11.25" customHeight="1" x14ac:dyDescent="0.2">
      <c r="A45" s="279"/>
      <c r="B45" s="279"/>
      <c r="C45" s="281"/>
      <c r="D45" s="282"/>
      <c r="E45" s="282"/>
      <c r="F45" s="282"/>
      <c r="G45" s="282"/>
      <c r="H45" s="282"/>
      <c r="I45" s="282"/>
    </row>
    <row r="46" spans="1:13" s="7" customFormat="1" ht="11.25" customHeight="1" x14ac:dyDescent="0.2">
      <c r="A46" s="279"/>
      <c r="B46" s="279"/>
      <c r="C46" s="281"/>
      <c r="D46" s="282"/>
      <c r="E46" s="283"/>
      <c r="F46" s="283"/>
      <c r="G46" s="283"/>
      <c r="H46" s="283"/>
      <c r="I46" s="283"/>
    </row>
    <row r="47" spans="1:13" s="7" customFormat="1" ht="10.15" customHeight="1" x14ac:dyDescent="0.2">
      <c r="A47" s="279"/>
      <c r="B47" s="279"/>
      <c r="C47" s="194" t="s">
        <v>177</v>
      </c>
      <c r="D47" s="195" t="s">
        <v>100</v>
      </c>
      <c r="E47" s="284" t="s">
        <v>178</v>
      </c>
      <c r="F47" s="270">
        <f>G55</f>
        <v>77.17</v>
      </c>
      <c r="G47" s="270"/>
      <c r="H47" s="271">
        <f>I55</f>
        <v>82.42</v>
      </c>
      <c r="I47" s="271"/>
    </row>
    <row r="48" spans="1:13" s="7" customFormat="1" ht="14.45" customHeight="1" x14ac:dyDescent="0.2">
      <c r="A48" s="279"/>
      <c r="B48" s="279"/>
      <c r="C48" s="194" t="s">
        <v>179</v>
      </c>
      <c r="D48" s="195">
        <v>1</v>
      </c>
      <c r="E48" s="285"/>
      <c r="F48" s="270"/>
      <c r="G48" s="270"/>
      <c r="H48" s="271"/>
      <c r="I48" s="271"/>
      <c r="L48" s="196"/>
      <c r="M48" s="196"/>
    </row>
    <row r="49" spans="1:13" s="7" customFormat="1" x14ac:dyDescent="0.2">
      <c r="A49" s="3"/>
      <c r="B49" s="3"/>
      <c r="C49" s="4"/>
      <c r="D49" s="5"/>
      <c r="E49" s="127"/>
      <c r="F49" s="268" t="s">
        <v>180</v>
      </c>
      <c r="G49" s="268"/>
      <c r="H49" s="269" t="s">
        <v>181</v>
      </c>
      <c r="I49" s="269"/>
    </row>
    <row r="50" spans="1:13" s="204" customFormat="1" ht="24" x14ac:dyDescent="0.25">
      <c r="A50" s="197" t="s">
        <v>182</v>
      </c>
      <c r="B50" s="197" t="s">
        <v>183</v>
      </c>
      <c r="C50" s="198" t="s">
        <v>96</v>
      </c>
      <c r="D50" s="199" t="s">
        <v>177</v>
      </c>
      <c r="E50" s="200" t="s">
        <v>184</v>
      </c>
      <c r="F50" s="201" t="s">
        <v>185</v>
      </c>
      <c r="G50" s="202" t="s">
        <v>186</v>
      </c>
      <c r="H50" s="203" t="s">
        <v>185</v>
      </c>
      <c r="I50" s="202" t="s">
        <v>186</v>
      </c>
    </row>
    <row r="51" spans="1:13" s="7" customFormat="1" ht="24" x14ac:dyDescent="0.2">
      <c r="A51" s="205" t="s">
        <v>190</v>
      </c>
      <c r="B51" s="205" t="s">
        <v>245</v>
      </c>
      <c r="C51" s="206" t="s">
        <v>246</v>
      </c>
      <c r="D51" s="207" t="s">
        <v>106</v>
      </c>
      <c r="E51" s="208">
        <v>1.38E-2</v>
      </c>
      <c r="F51" s="209" t="s">
        <v>362</v>
      </c>
      <c r="G51" s="210">
        <f>TRUNC($E51*F51,2)</f>
        <v>6.86</v>
      </c>
      <c r="H51" s="211" t="s">
        <v>363</v>
      </c>
      <c r="I51" s="212">
        <f>TRUNC($E51*H51,2)</f>
        <v>7.02</v>
      </c>
      <c r="L51" s="196"/>
      <c r="M51" s="196"/>
    </row>
    <row r="52" spans="1:13" s="7" customFormat="1" ht="24" x14ac:dyDescent="0.2">
      <c r="A52" s="205" t="s">
        <v>190</v>
      </c>
      <c r="B52" s="213" t="s">
        <v>191</v>
      </c>
      <c r="C52" s="206" t="s">
        <v>192</v>
      </c>
      <c r="D52" s="207" t="s">
        <v>95</v>
      </c>
      <c r="E52" s="208">
        <v>1.1399999999999999</v>
      </c>
      <c r="F52" s="209">
        <v>23.69</v>
      </c>
      <c r="G52" s="210">
        <f t="shared" ref="G52:G54" si="4">TRUNC($E52*F52,2)</f>
        <v>27</v>
      </c>
      <c r="H52" s="211">
        <v>26.51</v>
      </c>
      <c r="I52" s="212">
        <f t="shared" ref="I52:I54" si="5">TRUNC($E52*H52,2)</f>
        <v>30.22</v>
      </c>
      <c r="L52" s="196"/>
      <c r="M52" s="196"/>
    </row>
    <row r="53" spans="1:13" s="7" customFormat="1" ht="24" x14ac:dyDescent="0.2">
      <c r="A53" s="205" t="s">
        <v>190</v>
      </c>
      <c r="B53" s="213" t="s">
        <v>193</v>
      </c>
      <c r="C53" s="206" t="s">
        <v>194</v>
      </c>
      <c r="D53" s="207" t="s">
        <v>95</v>
      </c>
      <c r="E53" s="208">
        <v>0.88</v>
      </c>
      <c r="F53" s="209">
        <v>19.149999999999999</v>
      </c>
      <c r="G53" s="210">
        <f t="shared" si="4"/>
        <v>16.850000000000001</v>
      </c>
      <c r="H53" s="211">
        <v>21.28</v>
      </c>
      <c r="I53" s="212">
        <f t="shared" si="5"/>
        <v>18.72</v>
      </c>
      <c r="L53" s="196"/>
      <c r="M53" s="196"/>
    </row>
    <row r="54" spans="1:13" s="7" customFormat="1" ht="24" x14ac:dyDescent="0.2">
      <c r="A54" s="205" t="s">
        <v>187</v>
      </c>
      <c r="B54" s="213" t="s">
        <v>188</v>
      </c>
      <c r="C54" s="206" t="s">
        <v>247</v>
      </c>
      <c r="D54" s="207" t="s">
        <v>189</v>
      </c>
      <c r="E54" s="208">
        <v>54</v>
      </c>
      <c r="F54" s="209">
        <v>0.49</v>
      </c>
      <c r="G54" s="210">
        <f t="shared" si="4"/>
        <v>26.46</v>
      </c>
      <c r="H54" s="211">
        <v>0.49</v>
      </c>
      <c r="I54" s="212">
        <f t="shared" si="5"/>
        <v>26.46</v>
      </c>
      <c r="L54" s="196"/>
      <c r="M54" s="196"/>
    </row>
    <row r="55" spans="1:13" s="7" customFormat="1" ht="14.45" customHeight="1" x14ac:dyDescent="0.2">
      <c r="A55" s="215"/>
      <c r="B55" s="215"/>
      <c r="C55" s="215"/>
      <c r="D55" s="215"/>
      <c r="E55" s="215"/>
      <c r="F55" s="216" t="s">
        <v>195</v>
      </c>
      <c r="G55" s="216">
        <f>TRUNC(SUM(G51:G54),2)</f>
        <v>77.17</v>
      </c>
      <c r="H55" s="216" t="s">
        <v>195</v>
      </c>
      <c r="I55" s="216">
        <f>TRUNC(SUM(I51:I54),2)</f>
        <v>82.42</v>
      </c>
      <c r="J55" s="217"/>
      <c r="L55" s="196"/>
      <c r="M55" s="196"/>
    </row>
    <row r="56" spans="1:13" s="7" customFormat="1" x14ac:dyDescent="0.2">
      <c r="A56" s="218"/>
      <c r="B56" s="218"/>
      <c r="C56" s="218"/>
      <c r="D56" s="218"/>
      <c r="E56" s="218"/>
      <c r="F56" s="219"/>
      <c r="G56" s="219"/>
      <c r="H56" s="219"/>
      <c r="I56" s="219"/>
    </row>
    <row r="57" spans="1:13" s="7" customFormat="1" x14ac:dyDescent="0.2">
      <c r="A57" s="272" t="s">
        <v>260</v>
      </c>
      <c r="B57" s="273"/>
      <c r="C57" s="273"/>
      <c r="D57" s="273"/>
      <c r="E57" s="273"/>
      <c r="F57" s="273"/>
      <c r="G57" s="273"/>
      <c r="H57" s="273"/>
      <c r="I57" s="274"/>
    </row>
    <row r="58" spans="1:13" s="7" customFormat="1" ht="23.25" customHeight="1" x14ac:dyDescent="0.2">
      <c r="A58" s="275"/>
      <c r="B58" s="276"/>
      <c r="C58" s="276"/>
      <c r="D58" s="276"/>
      <c r="E58" s="276"/>
      <c r="F58" s="276"/>
      <c r="G58" s="276"/>
      <c r="H58" s="276"/>
      <c r="I58" s="277"/>
    </row>
    <row r="59" spans="1:13" s="7" customFormat="1" ht="10.15" customHeight="1" x14ac:dyDescent="0.2">
      <c r="A59" s="278" t="s">
        <v>205</v>
      </c>
      <c r="B59" s="278"/>
      <c r="C59" s="193" t="s">
        <v>175</v>
      </c>
      <c r="D59" s="280" t="s">
        <v>259</v>
      </c>
      <c r="E59" s="280"/>
      <c r="F59" s="280"/>
      <c r="G59" s="280"/>
      <c r="H59" s="280"/>
      <c r="I59" s="280"/>
    </row>
    <row r="60" spans="1:13" s="7" customFormat="1" ht="11.25" customHeight="1" x14ac:dyDescent="0.2">
      <c r="A60" s="279"/>
      <c r="B60" s="279"/>
      <c r="C60" s="281" t="s">
        <v>176</v>
      </c>
      <c r="D60" s="282" t="s">
        <v>258</v>
      </c>
      <c r="E60" s="282"/>
      <c r="F60" s="282"/>
      <c r="G60" s="282"/>
      <c r="H60" s="282"/>
      <c r="I60" s="282"/>
    </row>
    <row r="61" spans="1:13" s="7" customFormat="1" ht="36" customHeight="1" x14ac:dyDescent="0.2">
      <c r="A61" s="279"/>
      <c r="B61" s="279"/>
      <c r="C61" s="281"/>
      <c r="D61" s="282"/>
      <c r="E61" s="283"/>
      <c r="F61" s="283"/>
      <c r="G61" s="283"/>
      <c r="H61" s="283"/>
      <c r="I61" s="283"/>
      <c r="L61" s="228" t="s">
        <v>216</v>
      </c>
    </row>
    <row r="62" spans="1:13" s="7" customFormat="1" ht="10.15" customHeight="1" x14ac:dyDescent="0.2">
      <c r="A62" s="279"/>
      <c r="B62" s="279"/>
      <c r="C62" s="194" t="s">
        <v>177</v>
      </c>
      <c r="D62" s="195" t="s">
        <v>102</v>
      </c>
      <c r="E62" s="284" t="s">
        <v>178</v>
      </c>
      <c r="F62" s="270">
        <f>G69</f>
        <v>43.28</v>
      </c>
      <c r="G62" s="270"/>
      <c r="H62" s="271">
        <f>I69</f>
        <v>45.7</v>
      </c>
      <c r="I62" s="271"/>
    </row>
    <row r="63" spans="1:13" s="7" customFormat="1" ht="14.45" customHeight="1" x14ac:dyDescent="0.2">
      <c r="A63" s="279"/>
      <c r="B63" s="279"/>
      <c r="C63" s="194" t="s">
        <v>179</v>
      </c>
      <c r="D63" s="195">
        <v>1</v>
      </c>
      <c r="E63" s="285"/>
      <c r="F63" s="270"/>
      <c r="G63" s="270"/>
      <c r="H63" s="271"/>
      <c r="I63" s="271"/>
      <c r="K63" s="196"/>
      <c r="L63" s="196"/>
      <c r="M63" s="196"/>
    </row>
    <row r="64" spans="1:13" s="7" customFormat="1" x14ac:dyDescent="0.2">
      <c r="A64" s="3"/>
      <c r="B64" s="3"/>
      <c r="C64" s="4"/>
      <c r="D64" s="5"/>
      <c r="E64" s="127"/>
      <c r="F64" s="268" t="s">
        <v>180</v>
      </c>
      <c r="G64" s="268"/>
      <c r="H64" s="269" t="s">
        <v>181</v>
      </c>
      <c r="I64" s="269"/>
    </row>
    <row r="65" spans="1:13" s="204" customFormat="1" ht="24" x14ac:dyDescent="0.25">
      <c r="A65" s="197" t="s">
        <v>182</v>
      </c>
      <c r="B65" s="197" t="s">
        <v>183</v>
      </c>
      <c r="C65" s="198" t="s">
        <v>96</v>
      </c>
      <c r="D65" s="199" t="s">
        <v>177</v>
      </c>
      <c r="E65" s="200" t="s">
        <v>184</v>
      </c>
      <c r="F65" s="201" t="s">
        <v>185</v>
      </c>
      <c r="G65" s="229" t="s">
        <v>186</v>
      </c>
      <c r="H65" s="230" t="s">
        <v>185</v>
      </c>
      <c r="I65" s="202" t="s">
        <v>186</v>
      </c>
    </row>
    <row r="66" spans="1:13" s="7" customFormat="1" ht="36" x14ac:dyDescent="0.2">
      <c r="A66" s="220" t="s">
        <v>190</v>
      </c>
      <c r="B66" s="221" t="s">
        <v>256</v>
      </c>
      <c r="C66" s="206" t="s">
        <v>257</v>
      </c>
      <c r="D66" s="207" t="s">
        <v>97</v>
      </c>
      <c r="E66" s="222" t="s">
        <v>212</v>
      </c>
      <c r="F66" s="209">
        <v>6.27</v>
      </c>
      <c r="G66" s="223">
        <f t="shared" ref="G66:G67" si="6">TRUNC($E66*F66,2)</f>
        <v>12.54</v>
      </c>
      <c r="H66" s="224">
        <v>6.63</v>
      </c>
      <c r="I66" s="212">
        <f t="shared" ref="I66" si="7">TRUNC($E66*H66,2)</f>
        <v>13.26</v>
      </c>
      <c r="L66" s="196"/>
      <c r="M66" s="196"/>
    </row>
    <row r="67" spans="1:13" s="7" customFormat="1" ht="36" x14ac:dyDescent="0.2">
      <c r="A67" s="220" t="s">
        <v>190</v>
      </c>
      <c r="B67" s="221" t="s">
        <v>221</v>
      </c>
      <c r="C67" s="206" t="s">
        <v>222</v>
      </c>
      <c r="D67" s="207" t="s">
        <v>97</v>
      </c>
      <c r="E67" s="222">
        <v>4</v>
      </c>
      <c r="F67" s="209">
        <v>3.75</v>
      </c>
      <c r="G67" s="223">
        <f t="shared" si="6"/>
        <v>15</v>
      </c>
      <c r="H67" s="225">
        <v>3.89</v>
      </c>
      <c r="I67" s="212">
        <f>TRUNC($E67*H67,2)</f>
        <v>15.56</v>
      </c>
      <c r="L67" s="196"/>
      <c r="M67" s="196"/>
    </row>
    <row r="68" spans="1:13" s="7" customFormat="1" ht="24" x14ac:dyDescent="0.2">
      <c r="A68" s="220" t="s">
        <v>190</v>
      </c>
      <c r="B68" s="221" t="s">
        <v>213</v>
      </c>
      <c r="C68" s="206" t="s">
        <v>197</v>
      </c>
      <c r="D68" s="207" t="s">
        <v>102</v>
      </c>
      <c r="E68" s="222">
        <v>1</v>
      </c>
      <c r="F68" s="209">
        <v>15.74</v>
      </c>
      <c r="G68" s="223">
        <f>TRUNC($E68*F68,2)</f>
        <v>15.74</v>
      </c>
      <c r="H68" s="225">
        <v>16.88</v>
      </c>
      <c r="I68" s="212">
        <f t="shared" ref="I68" si="8">TRUNC($E68*H68,2)</f>
        <v>16.88</v>
      </c>
      <c r="L68" s="196"/>
      <c r="M68" s="196"/>
    </row>
    <row r="69" spans="1:13" s="7" customFormat="1" ht="14.45" customHeight="1" x14ac:dyDescent="0.2">
      <c r="A69" s="215"/>
      <c r="B69" s="215"/>
      <c r="C69" s="215"/>
      <c r="D69" s="215"/>
      <c r="E69" s="215"/>
      <c r="F69" s="216" t="s">
        <v>195</v>
      </c>
      <c r="G69" s="216">
        <f>TRUNC(SUM(G66:G68),2)</f>
        <v>43.28</v>
      </c>
      <c r="H69" s="216" t="s">
        <v>195</v>
      </c>
      <c r="I69" s="216">
        <f>TRUNC(SUM(I66:I68),2)</f>
        <v>45.7</v>
      </c>
      <c r="J69" s="217"/>
      <c r="L69" s="196"/>
      <c r="M69" s="196"/>
    </row>
    <row r="70" spans="1:13" s="7" customFormat="1" x14ac:dyDescent="0.2">
      <c r="A70" s="231"/>
      <c r="B70" s="219"/>
      <c r="C70" s="219"/>
      <c r="D70" s="219"/>
      <c r="E70" s="219"/>
      <c r="F70" s="219"/>
      <c r="G70" s="219"/>
      <c r="H70" s="219"/>
      <c r="I70" s="232"/>
    </row>
    <row r="71" spans="1:13" s="7" customFormat="1" x14ac:dyDescent="0.2">
      <c r="A71" s="272" t="s">
        <v>263</v>
      </c>
      <c r="B71" s="273"/>
      <c r="C71" s="273"/>
      <c r="D71" s="273"/>
      <c r="E71" s="273"/>
      <c r="F71" s="273"/>
      <c r="G71" s="273"/>
      <c r="H71" s="273"/>
      <c r="I71" s="274"/>
    </row>
    <row r="72" spans="1:13" s="7" customFormat="1" ht="23.25" customHeight="1" x14ac:dyDescent="0.2">
      <c r="A72" s="275"/>
      <c r="B72" s="276"/>
      <c r="C72" s="276"/>
      <c r="D72" s="276"/>
      <c r="E72" s="276"/>
      <c r="F72" s="276"/>
      <c r="G72" s="276"/>
      <c r="H72" s="276"/>
      <c r="I72" s="277"/>
    </row>
    <row r="73" spans="1:13" s="7" customFormat="1" ht="10.15" customHeight="1" x14ac:dyDescent="0.2">
      <c r="A73" s="278" t="s">
        <v>217</v>
      </c>
      <c r="B73" s="278"/>
      <c r="C73" s="193" t="s">
        <v>175</v>
      </c>
      <c r="D73" s="280" t="s">
        <v>259</v>
      </c>
      <c r="E73" s="280"/>
      <c r="F73" s="280"/>
      <c r="G73" s="280"/>
      <c r="H73" s="280"/>
      <c r="I73" s="280"/>
    </row>
    <row r="74" spans="1:13" s="7" customFormat="1" ht="11.25" customHeight="1" x14ac:dyDescent="0.2">
      <c r="A74" s="279"/>
      <c r="B74" s="279"/>
      <c r="C74" s="281" t="s">
        <v>176</v>
      </c>
      <c r="D74" s="282" t="s">
        <v>258</v>
      </c>
      <c r="E74" s="282"/>
      <c r="F74" s="282"/>
      <c r="G74" s="282"/>
      <c r="H74" s="282"/>
      <c r="I74" s="282"/>
    </row>
    <row r="75" spans="1:13" s="7" customFormat="1" ht="36" customHeight="1" x14ac:dyDescent="0.2">
      <c r="A75" s="279"/>
      <c r="B75" s="279"/>
      <c r="C75" s="281"/>
      <c r="D75" s="282"/>
      <c r="E75" s="283"/>
      <c r="F75" s="283"/>
      <c r="G75" s="283"/>
      <c r="H75" s="283"/>
      <c r="I75" s="283"/>
      <c r="L75" s="228" t="s">
        <v>216</v>
      </c>
    </row>
    <row r="76" spans="1:13" s="7" customFormat="1" ht="10.15" customHeight="1" x14ac:dyDescent="0.2">
      <c r="A76" s="279"/>
      <c r="B76" s="279"/>
      <c r="C76" s="194" t="s">
        <v>177</v>
      </c>
      <c r="D76" s="195" t="s">
        <v>102</v>
      </c>
      <c r="E76" s="284" t="s">
        <v>178</v>
      </c>
      <c r="F76" s="270">
        <f>G87</f>
        <v>129.75</v>
      </c>
      <c r="G76" s="270"/>
      <c r="H76" s="271">
        <f>I87</f>
        <v>140.49</v>
      </c>
      <c r="I76" s="271"/>
    </row>
    <row r="77" spans="1:13" s="7" customFormat="1" ht="14.45" customHeight="1" x14ac:dyDescent="0.2">
      <c r="A77" s="279"/>
      <c r="B77" s="279"/>
      <c r="C77" s="194" t="s">
        <v>179</v>
      </c>
      <c r="D77" s="195">
        <v>1</v>
      </c>
      <c r="E77" s="285"/>
      <c r="F77" s="270"/>
      <c r="G77" s="270"/>
      <c r="H77" s="271"/>
      <c r="I77" s="271"/>
      <c r="K77" s="196"/>
      <c r="L77" s="196"/>
      <c r="M77" s="196"/>
    </row>
    <row r="78" spans="1:13" s="7" customFormat="1" x14ac:dyDescent="0.2">
      <c r="A78" s="3"/>
      <c r="B78" s="3"/>
      <c r="C78" s="4"/>
      <c r="D78" s="5"/>
      <c r="E78" s="127"/>
      <c r="F78" s="268" t="s">
        <v>180</v>
      </c>
      <c r="G78" s="268"/>
      <c r="H78" s="269" t="s">
        <v>181</v>
      </c>
      <c r="I78" s="269"/>
    </row>
    <row r="79" spans="1:13" s="204" customFormat="1" ht="24" x14ac:dyDescent="0.25">
      <c r="A79" s="197" t="s">
        <v>182</v>
      </c>
      <c r="B79" s="197" t="s">
        <v>183</v>
      </c>
      <c r="C79" s="198" t="s">
        <v>96</v>
      </c>
      <c r="D79" s="199" t="s">
        <v>177</v>
      </c>
      <c r="E79" s="200" t="s">
        <v>184</v>
      </c>
      <c r="F79" s="201" t="s">
        <v>185</v>
      </c>
      <c r="G79" s="229" t="s">
        <v>186</v>
      </c>
      <c r="H79" s="230" t="s">
        <v>185</v>
      </c>
      <c r="I79" s="202" t="s">
        <v>186</v>
      </c>
    </row>
    <row r="80" spans="1:13" s="7" customFormat="1" ht="24" x14ac:dyDescent="0.2">
      <c r="A80" s="220" t="s">
        <v>190</v>
      </c>
      <c r="B80" s="221" t="s">
        <v>206</v>
      </c>
      <c r="C80" s="206" t="s">
        <v>207</v>
      </c>
      <c r="D80" s="207" t="s">
        <v>97</v>
      </c>
      <c r="E80" s="222">
        <v>2.2000000000000002</v>
      </c>
      <c r="F80" s="209">
        <v>6.96</v>
      </c>
      <c r="G80" s="223">
        <f t="shared" ref="G80:G86" si="9">TRUNC($E80*F80,2)</f>
        <v>15.31</v>
      </c>
      <c r="H80" s="224">
        <v>7.79</v>
      </c>
      <c r="I80" s="212">
        <f t="shared" ref="I80" si="10">TRUNC($E80*H80,2)</f>
        <v>17.13</v>
      </c>
      <c r="L80" s="196"/>
      <c r="M80" s="196"/>
    </row>
    <row r="81" spans="1:13" s="7" customFormat="1" ht="24" x14ac:dyDescent="0.2">
      <c r="A81" s="220" t="s">
        <v>190</v>
      </c>
      <c r="B81" s="221" t="s">
        <v>208</v>
      </c>
      <c r="C81" s="206" t="s">
        <v>209</v>
      </c>
      <c r="D81" s="207" t="s">
        <v>102</v>
      </c>
      <c r="E81" s="222">
        <v>1</v>
      </c>
      <c r="F81" s="209">
        <v>4.6100000000000003</v>
      </c>
      <c r="G81" s="223">
        <f t="shared" si="9"/>
        <v>4.6100000000000003</v>
      </c>
      <c r="H81" s="225">
        <v>5.16</v>
      </c>
      <c r="I81" s="212">
        <f t="shared" ref="I81:I86" si="11">TRUNC($E81*H81,2)</f>
        <v>5.16</v>
      </c>
      <c r="L81" s="196"/>
      <c r="M81" s="196"/>
    </row>
    <row r="82" spans="1:13" s="7" customFormat="1" ht="36" x14ac:dyDescent="0.2">
      <c r="A82" s="220" t="s">
        <v>190</v>
      </c>
      <c r="B82" s="221" t="s">
        <v>210</v>
      </c>
      <c r="C82" s="206" t="s">
        <v>211</v>
      </c>
      <c r="D82" s="207" t="s">
        <v>97</v>
      </c>
      <c r="E82" s="222">
        <v>2.2000000000000002</v>
      </c>
      <c r="F82" s="209">
        <v>13.25</v>
      </c>
      <c r="G82" s="223">
        <f t="shared" si="9"/>
        <v>29.15</v>
      </c>
      <c r="H82" s="225">
        <v>14.55</v>
      </c>
      <c r="I82" s="212">
        <f t="shared" si="11"/>
        <v>32.01</v>
      </c>
      <c r="L82" s="196"/>
      <c r="M82" s="196"/>
    </row>
    <row r="83" spans="1:13" s="7" customFormat="1" ht="36" x14ac:dyDescent="0.2">
      <c r="A83" s="220" t="s">
        <v>190</v>
      </c>
      <c r="B83" s="221" t="s">
        <v>261</v>
      </c>
      <c r="C83" s="206" t="s">
        <v>262</v>
      </c>
      <c r="D83" s="207" t="s">
        <v>97</v>
      </c>
      <c r="E83" s="222">
        <v>2.2000000000000002</v>
      </c>
      <c r="F83" s="209">
        <v>8.7799999999999994</v>
      </c>
      <c r="G83" s="223">
        <f t="shared" si="9"/>
        <v>19.309999999999999</v>
      </c>
      <c r="H83" s="225">
        <v>9.4700000000000006</v>
      </c>
      <c r="I83" s="212">
        <f t="shared" si="11"/>
        <v>20.83</v>
      </c>
      <c r="L83" s="196"/>
      <c r="M83" s="196"/>
    </row>
    <row r="84" spans="1:13" s="7" customFormat="1" ht="36" x14ac:dyDescent="0.2">
      <c r="A84" s="220" t="s">
        <v>190</v>
      </c>
      <c r="B84" s="221" t="s">
        <v>221</v>
      </c>
      <c r="C84" s="206" t="s">
        <v>222</v>
      </c>
      <c r="D84" s="207" t="s">
        <v>97</v>
      </c>
      <c r="E84" s="222">
        <v>4.4000000000000004</v>
      </c>
      <c r="F84" s="209">
        <v>3.75</v>
      </c>
      <c r="G84" s="223">
        <f t="shared" si="9"/>
        <v>16.5</v>
      </c>
      <c r="H84" s="225">
        <v>3.89</v>
      </c>
      <c r="I84" s="212">
        <f t="shared" si="11"/>
        <v>17.11</v>
      </c>
      <c r="L84" s="196"/>
      <c r="M84" s="196"/>
    </row>
    <row r="85" spans="1:13" s="7" customFormat="1" ht="24" x14ac:dyDescent="0.2">
      <c r="A85" s="220" t="s">
        <v>190</v>
      </c>
      <c r="B85" s="221" t="s">
        <v>214</v>
      </c>
      <c r="C85" s="206" t="s">
        <v>215</v>
      </c>
      <c r="D85" s="207" t="s">
        <v>102</v>
      </c>
      <c r="E85" s="222">
        <v>1</v>
      </c>
      <c r="F85" s="209">
        <v>16.760000000000002</v>
      </c>
      <c r="G85" s="223">
        <f t="shared" si="9"/>
        <v>16.760000000000002</v>
      </c>
      <c r="H85" s="225">
        <v>18.29</v>
      </c>
      <c r="I85" s="212">
        <f t="shared" si="11"/>
        <v>18.29</v>
      </c>
      <c r="L85" s="196"/>
      <c r="M85" s="196"/>
    </row>
    <row r="86" spans="1:13" s="7" customFormat="1" ht="24" x14ac:dyDescent="0.2">
      <c r="A86" s="220" t="s">
        <v>190</v>
      </c>
      <c r="B86" s="221" t="s">
        <v>155</v>
      </c>
      <c r="C86" s="206" t="s">
        <v>156</v>
      </c>
      <c r="D86" s="207" t="s">
        <v>102</v>
      </c>
      <c r="E86" s="222">
        <v>1</v>
      </c>
      <c r="F86" s="209">
        <v>28.11</v>
      </c>
      <c r="G86" s="223">
        <f t="shared" si="9"/>
        <v>28.11</v>
      </c>
      <c r="H86" s="225">
        <v>29.96</v>
      </c>
      <c r="I86" s="212">
        <f t="shared" si="11"/>
        <v>29.96</v>
      </c>
      <c r="L86" s="196"/>
      <c r="M86" s="196"/>
    </row>
    <row r="87" spans="1:13" s="7" customFormat="1" ht="14.45" customHeight="1" x14ac:dyDescent="0.2">
      <c r="A87" s="215"/>
      <c r="B87" s="215"/>
      <c r="C87" s="215"/>
      <c r="D87" s="215"/>
      <c r="E87" s="215"/>
      <c r="F87" s="216" t="s">
        <v>195</v>
      </c>
      <c r="G87" s="216">
        <f>TRUNC(SUM(G80:G86),2)</f>
        <v>129.75</v>
      </c>
      <c r="H87" s="216" t="s">
        <v>195</v>
      </c>
      <c r="I87" s="216">
        <f>TRUNC(SUM(I80:I86),2)</f>
        <v>140.49</v>
      </c>
      <c r="J87" s="217"/>
      <c r="L87" s="196"/>
      <c r="M87" s="196"/>
    </row>
    <row r="88" spans="1:13" s="7" customFormat="1" x14ac:dyDescent="0.2">
      <c r="A88" s="231"/>
      <c r="B88" s="219"/>
      <c r="C88" s="219"/>
      <c r="D88" s="219"/>
      <c r="E88" s="219"/>
      <c r="F88" s="219"/>
      <c r="G88" s="219"/>
      <c r="H88" s="219"/>
      <c r="I88" s="232"/>
    </row>
    <row r="89" spans="1:13" s="7" customFormat="1" ht="12.75" customHeight="1" x14ac:dyDescent="0.2">
      <c r="A89" s="272" t="s">
        <v>264</v>
      </c>
      <c r="B89" s="273"/>
      <c r="C89" s="273"/>
      <c r="D89" s="273"/>
      <c r="E89" s="273"/>
      <c r="F89" s="273"/>
      <c r="G89" s="273"/>
      <c r="H89" s="273"/>
      <c r="I89" s="274"/>
    </row>
    <row r="90" spans="1:13" s="7" customFormat="1" ht="12.75" customHeight="1" x14ac:dyDescent="0.2">
      <c r="A90" s="275"/>
      <c r="B90" s="276"/>
      <c r="C90" s="276"/>
      <c r="D90" s="276"/>
      <c r="E90" s="276"/>
      <c r="F90" s="276"/>
      <c r="G90" s="276"/>
      <c r="H90" s="276"/>
      <c r="I90" s="277"/>
      <c r="J90" s="7" t="s">
        <v>153</v>
      </c>
    </row>
    <row r="91" spans="1:13" s="7" customFormat="1" x14ac:dyDescent="0.2">
      <c r="A91" s="289" t="s">
        <v>218</v>
      </c>
      <c r="B91" s="290"/>
      <c r="C91" s="193" t="s">
        <v>265</v>
      </c>
      <c r="D91" s="280" t="s">
        <v>266</v>
      </c>
      <c r="E91" s="280"/>
      <c r="F91" s="280"/>
      <c r="G91" s="280"/>
      <c r="H91" s="280"/>
      <c r="I91" s="293"/>
    </row>
    <row r="92" spans="1:13" s="7" customFormat="1" ht="12.75" customHeight="1" x14ac:dyDescent="0.2">
      <c r="A92" s="291"/>
      <c r="B92" s="292"/>
      <c r="C92" s="281" t="s">
        <v>176</v>
      </c>
      <c r="D92" s="282" t="s">
        <v>264</v>
      </c>
      <c r="E92" s="282"/>
      <c r="F92" s="282"/>
      <c r="G92" s="282"/>
      <c r="H92" s="282"/>
      <c r="I92" s="282"/>
    </row>
    <row r="93" spans="1:13" s="7" customFormat="1" x14ac:dyDescent="0.2">
      <c r="A93" s="291"/>
      <c r="B93" s="292"/>
      <c r="C93" s="281"/>
      <c r="D93" s="282"/>
      <c r="E93" s="283"/>
      <c r="F93" s="283"/>
      <c r="G93" s="283"/>
      <c r="H93" s="283"/>
      <c r="I93" s="283"/>
    </row>
    <row r="94" spans="1:13" s="7" customFormat="1" x14ac:dyDescent="0.2">
      <c r="A94" s="291"/>
      <c r="B94" s="292"/>
      <c r="C94" s="194" t="s">
        <v>267</v>
      </c>
      <c r="D94" s="195" t="s">
        <v>102</v>
      </c>
      <c r="E94" s="294" t="s">
        <v>268</v>
      </c>
      <c r="F94" s="270">
        <f>G105</f>
        <v>124.22</v>
      </c>
      <c r="G94" s="270"/>
      <c r="H94" s="271">
        <f>I105</f>
        <v>126.19</v>
      </c>
      <c r="I94" s="271"/>
    </row>
    <row r="95" spans="1:13" s="7" customFormat="1" x14ac:dyDescent="0.2">
      <c r="A95" s="291"/>
      <c r="B95" s="292"/>
      <c r="C95" s="194" t="s">
        <v>269</v>
      </c>
      <c r="D95" s="195">
        <v>1</v>
      </c>
      <c r="E95" s="294"/>
      <c r="F95" s="270"/>
      <c r="G95" s="270"/>
      <c r="H95" s="271"/>
      <c r="I95" s="271"/>
      <c r="K95" s="196"/>
      <c r="L95" s="196"/>
    </row>
    <row r="96" spans="1:13" s="7" customFormat="1" x14ac:dyDescent="0.2">
      <c r="A96" s="2"/>
      <c r="B96" s="3"/>
      <c r="C96" s="4"/>
      <c r="D96" s="5"/>
      <c r="E96" s="6"/>
      <c r="F96" s="268" t="s">
        <v>180</v>
      </c>
      <c r="G96" s="268"/>
      <c r="H96" s="269" t="s">
        <v>181</v>
      </c>
      <c r="I96" s="269"/>
    </row>
    <row r="97" spans="1:12" s="204" customFormat="1" ht="24" x14ac:dyDescent="0.25">
      <c r="A97" s="233" t="s">
        <v>182</v>
      </c>
      <c r="B97" s="197" t="s">
        <v>183</v>
      </c>
      <c r="C97" s="198" t="s">
        <v>96</v>
      </c>
      <c r="D97" s="199" t="s">
        <v>177</v>
      </c>
      <c r="E97" s="200" t="s">
        <v>184</v>
      </c>
      <c r="F97" s="234" t="s">
        <v>185</v>
      </c>
      <c r="G97" s="235" t="s">
        <v>186</v>
      </c>
      <c r="H97" s="236" t="s">
        <v>185</v>
      </c>
      <c r="I97" s="237" t="s">
        <v>186</v>
      </c>
    </row>
    <row r="98" spans="1:12" s="7" customFormat="1" ht="24" x14ac:dyDescent="0.2">
      <c r="A98" s="238" t="s">
        <v>187</v>
      </c>
      <c r="B98" s="213" t="s">
        <v>270</v>
      </c>
      <c r="C98" s="206" t="s">
        <v>271</v>
      </c>
      <c r="D98" s="207" t="s">
        <v>189</v>
      </c>
      <c r="E98" s="208">
        <v>1.4999999999999999E-2</v>
      </c>
      <c r="F98" s="239">
        <v>57.7</v>
      </c>
      <c r="G98" s="240">
        <f t="shared" ref="G98:G104" si="12">TRUNC($E98*F98,2)</f>
        <v>0.86</v>
      </c>
      <c r="H98" s="224">
        <v>57.7</v>
      </c>
      <c r="I98" s="212">
        <f t="shared" ref="I98:I104" si="13">TRUNC($E98*H98,2)</f>
        <v>0.86</v>
      </c>
      <c r="K98" s="196"/>
      <c r="L98" s="196"/>
    </row>
    <row r="99" spans="1:12" s="7" customFormat="1" ht="24" x14ac:dyDescent="0.2">
      <c r="A99" s="238" t="s">
        <v>187</v>
      </c>
      <c r="B99" s="213" t="s">
        <v>272</v>
      </c>
      <c r="C99" s="206" t="s">
        <v>273</v>
      </c>
      <c r="D99" s="207" t="s">
        <v>274</v>
      </c>
      <c r="E99" s="208">
        <v>0.05</v>
      </c>
      <c r="F99" s="239">
        <v>20.010000000000002</v>
      </c>
      <c r="G99" s="212">
        <f t="shared" si="12"/>
        <v>1</v>
      </c>
      <c r="H99" s="224">
        <v>20.010000000000002</v>
      </c>
      <c r="I99" s="212">
        <f t="shared" si="13"/>
        <v>1</v>
      </c>
      <c r="K99" s="196"/>
      <c r="L99" s="196"/>
    </row>
    <row r="100" spans="1:12" s="7" customFormat="1" ht="24" x14ac:dyDescent="0.2">
      <c r="A100" s="238" t="s">
        <v>187</v>
      </c>
      <c r="B100" s="213" t="s">
        <v>275</v>
      </c>
      <c r="C100" s="206" t="s">
        <v>276</v>
      </c>
      <c r="D100" s="207" t="s">
        <v>189</v>
      </c>
      <c r="E100" s="208">
        <v>2</v>
      </c>
      <c r="F100" s="239">
        <v>9.1999999999999993</v>
      </c>
      <c r="G100" s="212">
        <f t="shared" si="12"/>
        <v>18.399999999999999</v>
      </c>
      <c r="H100" s="224">
        <v>9.1999999999999993</v>
      </c>
      <c r="I100" s="212">
        <f t="shared" si="13"/>
        <v>18.399999999999999</v>
      </c>
      <c r="K100" s="196"/>
      <c r="L100" s="196"/>
    </row>
    <row r="101" spans="1:12" s="7" customFormat="1" ht="24" x14ac:dyDescent="0.2">
      <c r="A101" s="238" t="s">
        <v>187</v>
      </c>
      <c r="B101" s="213" t="s">
        <v>277</v>
      </c>
      <c r="C101" s="206" t="s">
        <v>278</v>
      </c>
      <c r="D101" s="207" t="s">
        <v>279</v>
      </c>
      <c r="E101" s="208">
        <v>4</v>
      </c>
      <c r="F101" s="239">
        <v>16.5</v>
      </c>
      <c r="G101" s="212">
        <f t="shared" si="12"/>
        <v>66</v>
      </c>
      <c r="H101" s="224">
        <v>16.5</v>
      </c>
      <c r="I101" s="212">
        <f t="shared" si="13"/>
        <v>66</v>
      </c>
      <c r="K101" s="196"/>
      <c r="L101" s="196"/>
    </row>
    <row r="102" spans="1:12" s="7" customFormat="1" ht="24" x14ac:dyDescent="0.2">
      <c r="A102" s="238" t="s">
        <v>187</v>
      </c>
      <c r="B102" s="213" t="s">
        <v>280</v>
      </c>
      <c r="C102" s="206" t="s">
        <v>281</v>
      </c>
      <c r="D102" s="207" t="s">
        <v>189</v>
      </c>
      <c r="E102" s="208">
        <v>1</v>
      </c>
      <c r="F102" s="239">
        <v>21.12</v>
      </c>
      <c r="G102" s="212">
        <f>TRUNC($E102*F102,2)</f>
        <v>21.12</v>
      </c>
      <c r="H102" s="224">
        <v>21.12</v>
      </c>
      <c r="I102" s="212">
        <f>TRUNC($E102*H102,2)</f>
        <v>21.12</v>
      </c>
      <c r="K102" s="196"/>
      <c r="L102" s="196"/>
    </row>
    <row r="103" spans="1:12" s="7" customFormat="1" ht="24" x14ac:dyDescent="0.2">
      <c r="A103" s="238" t="s">
        <v>190</v>
      </c>
      <c r="B103" s="213" t="s">
        <v>282</v>
      </c>
      <c r="C103" s="206" t="s">
        <v>283</v>
      </c>
      <c r="D103" s="207" t="s">
        <v>95</v>
      </c>
      <c r="E103" s="208">
        <v>0.4</v>
      </c>
      <c r="F103" s="239">
        <v>22.95</v>
      </c>
      <c r="G103" s="212">
        <f t="shared" si="12"/>
        <v>9.18</v>
      </c>
      <c r="H103" s="224">
        <v>25.76</v>
      </c>
      <c r="I103" s="212">
        <f t="shared" si="13"/>
        <v>10.3</v>
      </c>
      <c r="K103" s="196"/>
      <c r="L103" s="196"/>
    </row>
    <row r="104" spans="1:12" s="7" customFormat="1" ht="24" x14ac:dyDescent="0.2">
      <c r="A104" s="238" t="s">
        <v>190</v>
      </c>
      <c r="B104" s="213" t="s">
        <v>193</v>
      </c>
      <c r="C104" s="206" t="s">
        <v>194</v>
      </c>
      <c r="D104" s="207" t="s">
        <v>95</v>
      </c>
      <c r="E104" s="208">
        <v>0.4</v>
      </c>
      <c r="F104" s="239">
        <v>19.149999999999999</v>
      </c>
      <c r="G104" s="212">
        <f t="shared" si="12"/>
        <v>7.66</v>
      </c>
      <c r="H104" s="224">
        <v>21.28</v>
      </c>
      <c r="I104" s="212">
        <f t="shared" si="13"/>
        <v>8.51</v>
      </c>
      <c r="K104" s="196"/>
      <c r="L104" s="196"/>
    </row>
    <row r="105" spans="1:12" s="7" customFormat="1" x14ac:dyDescent="0.2">
      <c r="A105" s="241"/>
      <c r="B105" s="242"/>
      <c r="C105" s="242"/>
      <c r="D105" s="242"/>
      <c r="E105" s="243"/>
      <c r="F105" s="216" t="s">
        <v>195</v>
      </c>
      <c r="G105" s="216">
        <f>TRUNC(SUM(G98:G104),2)</f>
        <v>124.22</v>
      </c>
      <c r="H105" s="216" t="s">
        <v>195</v>
      </c>
      <c r="I105" s="216">
        <f>TRUNC(SUM(I98:I104),2)</f>
        <v>126.19</v>
      </c>
      <c r="K105" s="196"/>
      <c r="L105" s="196"/>
    </row>
    <row r="106" spans="1:12" s="7" customFormat="1" x14ac:dyDescent="0.2"/>
    <row r="107" spans="1:12" s="7" customFormat="1" ht="12.75" customHeight="1" x14ac:dyDescent="0.2">
      <c r="A107" s="272" t="s">
        <v>284</v>
      </c>
      <c r="B107" s="273"/>
      <c r="C107" s="273"/>
      <c r="D107" s="273"/>
      <c r="E107" s="273"/>
      <c r="F107" s="273"/>
      <c r="G107" s="273"/>
      <c r="H107" s="273"/>
      <c r="I107" s="274"/>
    </row>
    <row r="108" spans="1:12" s="7" customFormat="1" ht="12.75" customHeight="1" x14ac:dyDescent="0.2">
      <c r="A108" s="275"/>
      <c r="B108" s="276"/>
      <c r="C108" s="276"/>
      <c r="D108" s="276"/>
      <c r="E108" s="276"/>
      <c r="F108" s="276"/>
      <c r="G108" s="276"/>
      <c r="H108" s="276"/>
      <c r="I108" s="277"/>
    </row>
    <row r="109" spans="1:12" s="7" customFormat="1" x14ac:dyDescent="0.2">
      <c r="A109" s="289" t="s">
        <v>219</v>
      </c>
      <c r="B109" s="290"/>
      <c r="C109" s="193" t="s">
        <v>265</v>
      </c>
      <c r="D109" s="280" t="s">
        <v>285</v>
      </c>
      <c r="E109" s="280"/>
      <c r="F109" s="280"/>
      <c r="G109" s="280"/>
      <c r="H109" s="280"/>
      <c r="I109" s="293"/>
    </row>
    <row r="110" spans="1:12" s="7" customFormat="1" ht="12.75" customHeight="1" x14ac:dyDescent="0.2">
      <c r="A110" s="291"/>
      <c r="B110" s="292"/>
      <c r="C110" s="281" t="s">
        <v>176</v>
      </c>
      <c r="D110" s="282" t="s">
        <v>286</v>
      </c>
      <c r="E110" s="282"/>
      <c r="F110" s="282"/>
      <c r="G110" s="282"/>
      <c r="H110" s="282"/>
      <c r="I110" s="282"/>
    </row>
    <row r="111" spans="1:12" s="7" customFormat="1" ht="22.5" customHeight="1" x14ac:dyDescent="0.2">
      <c r="A111" s="291"/>
      <c r="B111" s="292"/>
      <c r="C111" s="281"/>
      <c r="D111" s="282"/>
      <c r="E111" s="283"/>
      <c r="F111" s="283"/>
      <c r="G111" s="283"/>
      <c r="H111" s="283"/>
      <c r="I111" s="283"/>
    </row>
    <row r="112" spans="1:12" s="7" customFormat="1" x14ac:dyDescent="0.2">
      <c r="A112" s="291"/>
      <c r="B112" s="292"/>
      <c r="C112" s="194" t="s">
        <v>267</v>
      </c>
      <c r="D112" s="195" t="s">
        <v>102</v>
      </c>
      <c r="E112" s="294" t="s">
        <v>268</v>
      </c>
      <c r="F112" s="270">
        <f>G125</f>
        <v>76.33</v>
      </c>
      <c r="G112" s="270"/>
      <c r="H112" s="271">
        <f>I125</f>
        <v>79.55</v>
      </c>
      <c r="I112" s="271"/>
    </row>
    <row r="113" spans="1:12" s="7" customFormat="1" x14ac:dyDescent="0.2">
      <c r="A113" s="291"/>
      <c r="B113" s="292"/>
      <c r="C113" s="194" t="s">
        <v>269</v>
      </c>
      <c r="D113" s="195">
        <v>1</v>
      </c>
      <c r="E113" s="294"/>
      <c r="F113" s="270"/>
      <c r="G113" s="270"/>
      <c r="H113" s="271"/>
      <c r="I113" s="271"/>
      <c r="K113" s="196"/>
      <c r="L113" s="196"/>
    </row>
    <row r="114" spans="1:12" s="7" customFormat="1" x14ac:dyDescent="0.2">
      <c r="A114" s="2"/>
      <c r="B114" s="3"/>
      <c r="C114" s="4"/>
      <c r="D114" s="5"/>
      <c r="E114" s="6"/>
      <c r="F114" s="268" t="s">
        <v>180</v>
      </c>
      <c r="G114" s="268"/>
      <c r="H114" s="269" t="s">
        <v>181</v>
      </c>
      <c r="I114" s="269"/>
    </row>
    <row r="115" spans="1:12" s="204" customFormat="1" ht="24" x14ac:dyDescent="0.25">
      <c r="A115" s="233" t="s">
        <v>182</v>
      </c>
      <c r="B115" s="197" t="s">
        <v>183</v>
      </c>
      <c r="C115" s="198" t="s">
        <v>96</v>
      </c>
      <c r="D115" s="199" t="s">
        <v>177</v>
      </c>
      <c r="E115" s="200" t="s">
        <v>184</v>
      </c>
      <c r="F115" s="234" t="s">
        <v>185</v>
      </c>
      <c r="G115" s="229" t="s">
        <v>186</v>
      </c>
      <c r="H115" s="236" t="s">
        <v>185</v>
      </c>
      <c r="I115" s="237" t="s">
        <v>186</v>
      </c>
    </row>
    <row r="116" spans="1:12" s="7" customFormat="1" ht="24" x14ac:dyDescent="0.2">
      <c r="A116" s="238" t="s">
        <v>187</v>
      </c>
      <c r="B116" s="213" t="s">
        <v>270</v>
      </c>
      <c r="C116" s="206" t="s">
        <v>271</v>
      </c>
      <c r="D116" s="207" t="s">
        <v>189</v>
      </c>
      <c r="E116" s="208">
        <v>3.9E-2</v>
      </c>
      <c r="F116" s="239">
        <v>57.7</v>
      </c>
      <c r="G116" s="212">
        <f t="shared" ref="G116:G124" si="14">TRUNC($E116*F116,2)</f>
        <v>2.25</v>
      </c>
      <c r="H116" s="224">
        <v>57.7</v>
      </c>
      <c r="I116" s="212">
        <f t="shared" ref="I116:I124" si="15">TRUNC($E116*H116,2)</f>
        <v>2.25</v>
      </c>
      <c r="K116" s="196"/>
      <c r="L116" s="196"/>
    </row>
    <row r="117" spans="1:12" s="7" customFormat="1" ht="24" x14ac:dyDescent="0.2">
      <c r="A117" s="238" t="s">
        <v>187</v>
      </c>
      <c r="B117" s="213" t="s">
        <v>287</v>
      </c>
      <c r="C117" s="206" t="s">
        <v>288</v>
      </c>
      <c r="D117" s="207" t="s">
        <v>189</v>
      </c>
      <c r="E117" s="208">
        <v>0.09</v>
      </c>
      <c r="F117" s="239">
        <v>23.81</v>
      </c>
      <c r="G117" s="212">
        <f t="shared" si="14"/>
        <v>2.14</v>
      </c>
      <c r="H117" s="224">
        <v>23.81</v>
      </c>
      <c r="I117" s="212">
        <f t="shared" si="15"/>
        <v>2.14</v>
      </c>
      <c r="K117" s="196"/>
      <c r="L117" s="196"/>
    </row>
    <row r="118" spans="1:12" s="7" customFormat="1" ht="24" x14ac:dyDescent="0.2">
      <c r="A118" s="238" t="s">
        <v>187</v>
      </c>
      <c r="B118" s="213" t="s">
        <v>289</v>
      </c>
      <c r="C118" s="206" t="s">
        <v>290</v>
      </c>
      <c r="D118" s="207" t="s">
        <v>189</v>
      </c>
      <c r="E118" s="208">
        <f>0.06*(200/1000)</f>
        <v>1.2E-2</v>
      </c>
      <c r="F118" s="239">
        <v>68.86</v>
      </c>
      <c r="G118" s="212">
        <f t="shared" si="14"/>
        <v>0.82</v>
      </c>
      <c r="H118" s="224">
        <v>68.86</v>
      </c>
      <c r="I118" s="212">
        <f t="shared" si="15"/>
        <v>0.82</v>
      </c>
      <c r="K118" s="196"/>
      <c r="L118" s="196"/>
    </row>
    <row r="119" spans="1:12" s="7" customFormat="1" ht="24" x14ac:dyDescent="0.2">
      <c r="A119" s="238" t="s">
        <v>187</v>
      </c>
      <c r="B119" s="213" t="s">
        <v>291</v>
      </c>
      <c r="C119" s="206" t="s">
        <v>292</v>
      </c>
      <c r="D119" s="207" t="s">
        <v>189</v>
      </c>
      <c r="E119" s="208">
        <v>3</v>
      </c>
      <c r="F119" s="239">
        <v>2.59</v>
      </c>
      <c r="G119" s="212">
        <f t="shared" si="14"/>
        <v>7.77</v>
      </c>
      <c r="H119" s="224">
        <v>2.59</v>
      </c>
      <c r="I119" s="212">
        <f t="shared" si="15"/>
        <v>7.77</v>
      </c>
      <c r="K119" s="196"/>
      <c r="L119" s="196"/>
    </row>
    <row r="120" spans="1:12" s="7" customFormat="1" ht="24" x14ac:dyDescent="0.2">
      <c r="A120" s="238" t="s">
        <v>187</v>
      </c>
      <c r="B120" s="213" t="s">
        <v>293</v>
      </c>
      <c r="C120" s="206" t="s">
        <v>294</v>
      </c>
      <c r="D120" s="207" t="s">
        <v>189</v>
      </c>
      <c r="E120" s="208">
        <v>3</v>
      </c>
      <c r="F120" s="239">
        <v>2.34</v>
      </c>
      <c r="G120" s="212">
        <f t="shared" si="14"/>
        <v>7.02</v>
      </c>
      <c r="H120" s="224">
        <v>2.34</v>
      </c>
      <c r="I120" s="212">
        <f t="shared" si="15"/>
        <v>7.02</v>
      </c>
      <c r="K120" s="196"/>
      <c r="L120" s="196"/>
    </row>
    <row r="121" spans="1:12" s="7" customFormat="1" ht="24" x14ac:dyDescent="0.2">
      <c r="A121" s="238" t="s">
        <v>187</v>
      </c>
      <c r="B121" s="213" t="s">
        <v>295</v>
      </c>
      <c r="C121" s="206" t="s">
        <v>296</v>
      </c>
      <c r="D121" s="207" t="s">
        <v>189</v>
      </c>
      <c r="E121" s="208">
        <v>0.2</v>
      </c>
      <c r="F121" s="239">
        <v>0.74</v>
      </c>
      <c r="G121" s="212">
        <f t="shared" si="14"/>
        <v>0.14000000000000001</v>
      </c>
      <c r="H121" s="224">
        <v>0.74</v>
      </c>
      <c r="I121" s="212">
        <f t="shared" si="15"/>
        <v>0.14000000000000001</v>
      </c>
      <c r="K121" s="196"/>
      <c r="L121" s="196"/>
    </row>
    <row r="122" spans="1:12" s="7" customFormat="1" ht="24" x14ac:dyDescent="0.2">
      <c r="A122" s="238" t="s">
        <v>187</v>
      </c>
      <c r="B122" s="213" t="s">
        <v>297</v>
      </c>
      <c r="C122" s="206" t="s">
        <v>298</v>
      </c>
      <c r="D122" s="207" t="s">
        <v>279</v>
      </c>
      <c r="E122" s="208">
        <v>4</v>
      </c>
      <c r="F122" s="239">
        <v>7.21</v>
      </c>
      <c r="G122" s="212">
        <f t="shared" si="14"/>
        <v>28.84</v>
      </c>
      <c r="H122" s="224">
        <v>7.21</v>
      </c>
      <c r="I122" s="212">
        <f t="shared" si="15"/>
        <v>28.84</v>
      </c>
      <c r="K122" s="196"/>
      <c r="L122" s="196"/>
    </row>
    <row r="123" spans="1:12" s="7" customFormat="1" ht="24" x14ac:dyDescent="0.2">
      <c r="A123" s="238" t="s">
        <v>190</v>
      </c>
      <c r="B123" s="213" t="s">
        <v>282</v>
      </c>
      <c r="C123" s="206" t="s">
        <v>283</v>
      </c>
      <c r="D123" s="207" t="s">
        <v>95</v>
      </c>
      <c r="E123" s="208">
        <v>0.65</v>
      </c>
      <c r="F123" s="239">
        <v>22.95</v>
      </c>
      <c r="G123" s="212">
        <f t="shared" si="14"/>
        <v>14.91</v>
      </c>
      <c r="H123" s="224">
        <v>25.76</v>
      </c>
      <c r="I123" s="212">
        <f t="shared" si="15"/>
        <v>16.739999999999998</v>
      </c>
      <c r="K123" s="196"/>
      <c r="L123" s="196"/>
    </row>
    <row r="124" spans="1:12" s="7" customFormat="1" ht="24" x14ac:dyDescent="0.2">
      <c r="A124" s="238" t="s">
        <v>190</v>
      </c>
      <c r="B124" s="213" t="s">
        <v>193</v>
      </c>
      <c r="C124" s="206" t="s">
        <v>194</v>
      </c>
      <c r="D124" s="207" t="s">
        <v>95</v>
      </c>
      <c r="E124" s="208">
        <v>0.65</v>
      </c>
      <c r="F124" s="239">
        <v>19.149999999999999</v>
      </c>
      <c r="G124" s="212">
        <f t="shared" si="14"/>
        <v>12.44</v>
      </c>
      <c r="H124" s="224">
        <v>21.28</v>
      </c>
      <c r="I124" s="212">
        <f t="shared" si="15"/>
        <v>13.83</v>
      </c>
      <c r="K124" s="196"/>
      <c r="L124" s="196"/>
    </row>
    <row r="125" spans="1:12" s="7" customFormat="1" x14ac:dyDescent="0.2">
      <c r="A125" s="241"/>
      <c r="B125" s="242"/>
      <c r="C125" s="242"/>
      <c r="D125" s="242"/>
      <c r="E125" s="243"/>
      <c r="F125" s="74" t="s">
        <v>195</v>
      </c>
      <c r="G125" s="244">
        <f>TRUNC(SUM(G116:G124),2)</f>
        <v>76.33</v>
      </c>
      <c r="H125" s="75" t="s">
        <v>195</v>
      </c>
      <c r="I125" s="245">
        <f>TRUNC(SUM(I116:I124),2)</f>
        <v>79.55</v>
      </c>
      <c r="K125" s="196"/>
      <c r="L125" s="196"/>
    </row>
    <row r="126" spans="1:12" s="7" customFormat="1" x14ac:dyDescent="0.2"/>
    <row r="127" spans="1:12" s="7" customFormat="1" ht="12.75" customHeight="1" x14ac:dyDescent="0.2">
      <c r="A127" s="272" t="s">
        <v>302</v>
      </c>
      <c r="B127" s="273"/>
      <c r="C127" s="273"/>
      <c r="D127" s="273"/>
      <c r="E127" s="273"/>
      <c r="F127" s="273"/>
      <c r="G127" s="273"/>
      <c r="H127" s="273"/>
      <c r="I127" s="274"/>
    </row>
    <row r="128" spans="1:12" s="7" customFormat="1" ht="18.75" customHeight="1" x14ac:dyDescent="0.2">
      <c r="A128" s="275"/>
      <c r="B128" s="276"/>
      <c r="C128" s="276"/>
      <c r="D128" s="276"/>
      <c r="E128" s="276"/>
      <c r="F128" s="276"/>
      <c r="G128" s="276"/>
      <c r="H128" s="276"/>
      <c r="I128" s="277"/>
    </row>
    <row r="129" spans="1:12" s="7" customFormat="1" ht="10.15" customHeight="1" x14ac:dyDescent="0.2">
      <c r="A129" s="289" t="s">
        <v>223</v>
      </c>
      <c r="B129" s="290"/>
      <c r="C129" s="193" t="s">
        <v>265</v>
      </c>
      <c r="D129" s="280" t="s">
        <v>303</v>
      </c>
      <c r="E129" s="280"/>
      <c r="F129" s="280"/>
      <c r="G129" s="280"/>
      <c r="H129" s="280"/>
      <c r="I129" s="293"/>
      <c r="J129" s="7" t="s">
        <v>304</v>
      </c>
    </row>
    <row r="130" spans="1:12" s="7" customFormat="1" ht="29.25" customHeight="1" x14ac:dyDescent="0.2">
      <c r="A130" s="291"/>
      <c r="B130" s="292"/>
      <c r="C130" s="281" t="s">
        <v>176</v>
      </c>
      <c r="D130" s="282" t="s">
        <v>305</v>
      </c>
      <c r="E130" s="282"/>
      <c r="F130" s="282"/>
      <c r="G130" s="282"/>
      <c r="H130" s="282"/>
      <c r="I130" s="282"/>
      <c r="J130" s="7" t="s">
        <v>306</v>
      </c>
    </row>
    <row r="131" spans="1:12" s="7" customFormat="1" ht="11.25" customHeight="1" x14ac:dyDescent="0.2">
      <c r="A131" s="291"/>
      <c r="B131" s="292"/>
      <c r="C131" s="281"/>
      <c r="D131" s="282"/>
      <c r="E131" s="283"/>
      <c r="F131" s="283"/>
      <c r="G131" s="283"/>
      <c r="H131" s="283"/>
      <c r="I131" s="283"/>
      <c r="J131" s="7" t="s">
        <v>307</v>
      </c>
    </row>
    <row r="132" spans="1:12" s="7" customFormat="1" ht="10.15" customHeight="1" x14ac:dyDescent="0.2">
      <c r="A132" s="291"/>
      <c r="B132" s="292"/>
      <c r="C132" s="194" t="s">
        <v>267</v>
      </c>
      <c r="D132" s="195" t="s">
        <v>97</v>
      </c>
      <c r="E132" s="294" t="s">
        <v>268</v>
      </c>
      <c r="F132" s="270">
        <f>G143</f>
        <v>218.91</v>
      </c>
      <c r="G132" s="270"/>
      <c r="H132" s="271">
        <f>I143</f>
        <v>230.01</v>
      </c>
      <c r="I132" s="271"/>
    </row>
    <row r="133" spans="1:12" s="7" customFormat="1" ht="14.45" customHeight="1" x14ac:dyDescent="0.2">
      <c r="A133" s="291"/>
      <c r="B133" s="292"/>
      <c r="C133" s="194" t="s">
        <v>269</v>
      </c>
      <c r="D133" s="195">
        <v>1</v>
      </c>
      <c r="E133" s="294"/>
      <c r="F133" s="270"/>
      <c r="G133" s="270"/>
      <c r="H133" s="271"/>
      <c r="I133" s="271"/>
      <c r="K133" s="196"/>
      <c r="L133" s="196"/>
    </row>
    <row r="134" spans="1:12" s="7" customFormat="1" x14ac:dyDescent="0.2">
      <c r="A134" s="2"/>
      <c r="B134" s="3"/>
      <c r="C134" s="4"/>
      <c r="D134" s="5"/>
      <c r="E134" s="6"/>
      <c r="F134" s="268" t="s">
        <v>180</v>
      </c>
      <c r="G134" s="268"/>
      <c r="H134" s="269" t="s">
        <v>181</v>
      </c>
      <c r="I134" s="269"/>
    </row>
    <row r="135" spans="1:12" s="204" customFormat="1" ht="24" x14ac:dyDescent="0.25">
      <c r="A135" s="233" t="s">
        <v>182</v>
      </c>
      <c r="B135" s="197" t="s">
        <v>183</v>
      </c>
      <c r="C135" s="198" t="s">
        <v>96</v>
      </c>
      <c r="D135" s="199" t="s">
        <v>177</v>
      </c>
      <c r="E135" s="200" t="s">
        <v>184</v>
      </c>
      <c r="F135" s="234" t="s">
        <v>185</v>
      </c>
      <c r="G135" s="235" t="s">
        <v>186</v>
      </c>
      <c r="H135" s="236" t="s">
        <v>185</v>
      </c>
      <c r="I135" s="237" t="s">
        <v>186</v>
      </c>
    </row>
    <row r="136" spans="1:12" s="7" customFormat="1" ht="24" x14ac:dyDescent="0.2">
      <c r="A136" s="238" t="s">
        <v>187</v>
      </c>
      <c r="B136" s="213" t="s">
        <v>308</v>
      </c>
      <c r="C136" s="206" t="s">
        <v>309</v>
      </c>
      <c r="D136" s="207" t="s">
        <v>279</v>
      </c>
      <c r="E136" s="208">
        <v>2.5</v>
      </c>
      <c r="F136" s="239">
        <v>44.14</v>
      </c>
      <c r="G136" s="240">
        <f t="shared" ref="G136:G142" si="16">TRUNC($E136*F136,2)</f>
        <v>110.35</v>
      </c>
      <c r="H136" s="224">
        <v>44.14</v>
      </c>
      <c r="I136" s="212">
        <f t="shared" ref="I136:I142" si="17">TRUNC($E136*H136,2)</f>
        <v>110.35</v>
      </c>
      <c r="K136" s="196"/>
      <c r="L136" s="196"/>
    </row>
    <row r="137" spans="1:12" s="7" customFormat="1" ht="24" x14ac:dyDescent="0.2">
      <c r="A137" s="238" t="s">
        <v>190</v>
      </c>
      <c r="B137" s="213" t="s">
        <v>191</v>
      </c>
      <c r="C137" s="206" t="s">
        <v>192</v>
      </c>
      <c r="D137" s="207" t="s">
        <v>95</v>
      </c>
      <c r="E137" s="208">
        <v>1</v>
      </c>
      <c r="F137" s="239">
        <v>23.69</v>
      </c>
      <c r="G137" s="212">
        <f t="shared" si="16"/>
        <v>23.69</v>
      </c>
      <c r="H137" s="224">
        <v>26.51</v>
      </c>
      <c r="I137" s="212">
        <f t="shared" si="17"/>
        <v>26.51</v>
      </c>
      <c r="K137" s="196"/>
      <c r="L137" s="196"/>
    </row>
    <row r="138" spans="1:12" s="7" customFormat="1" ht="24" x14ac:dyDescent="0.2">
      <c r="A138" s="238" t="s">
        <v>190</v>
      </c>
      <c r="B138" s="213" t="s">
        <v>310</v>
      </c>
      <c r="C138" s="206" t="s">
        <v>311</v>
      </c>
      <c r="D138" s="207" t="s">
        <v>95</v>
      </c>
      <c r="E138" s="208">
        <v>0.5</v>
      </c>
      <c r="F138" s="239">
        <v>23.51</v>
      </c>
      <c r="G138" s="212">
        <f t="shared" si="16"/>
        <v>11.75</v>
      </c>
      <c r="H138" s="224">
        <v>26.31</v>
      </c>
      <c r="I138" s="212">
        <f t="shared" si="17"/>
        <v>13.15</v>
      </c>
      <c r="K138" s="196"/>
      <c r="L138" s="196"/>
    </row>
    <row r="139" spans="1:12" s="7" customFormat="1" ht="24" x14ac:dyDescent="0.2">
      <c r="A139" s="238" t="s">
        <v>190</v>
      </c>
      <c r="B139" s="213" t="s">
        <v>193</v>
      </c>
      <c r="C139" s="206" t="s">
        <v>194</v>
      </c>
      <c r="D139" s="207" t="s">
        <v>95</v>
      </c>
      <c r="E139" s="208">
        <v>2.5</v>
      </c>
      <c r="F139" s="239">
        <v>19.149999999999999</v>
      </c>
      <c r="G139" s="212">
        <f t="shared" si="16"/>
        <v>47.87</v>
      </c>
      <c r="H139" s="224">
        <v>21.28</v>
      </c>
      <c r="I139" s="212">
        <f t="shared" si="17"/>
        <v>53.2</v>
      </c>
      <c r="K139" s="196"/>
      <c r="L139" s="196"/>
    </row>
    <row r="140" spans="1:12" s="7" customFormat="1" ht="24" x14ac:dyDescent="0.2">
      <c r="A140" s="238" t="s">
        <v>190</v>
      </c>
      <c r="B140" s="213" t="s">
        <v>312</v>
      </c>
      <c r="C140" s="206" t="s">
        <v>313</v>
      </c>
      <c r="D140" s="207" t="s">
        <v>95</v>
      </c>
      <c r="E140" s="208">
        <v>0.5</v>
      </c>
      <c r="F140" s="239">
        <v>24.35</v>
      </c>
      <c r="G140" s="212">
        <f t="shared" si="16"/>
        <v>12.17</v>
      </c>
      <c r="H140" s="224">
        <v>27.15</v>
      </c>
      <c r="I140" s="212">
        <f t="shared" si="17"/>
        <v>13.57</v>
      </c>
      <c r="K140" s="196"/>
      <c r="L140" s="196"/>
    </row>
    <row r="141" spans="1:12" s="7" customFormat="1" ht="24" x14ac:dyDescent="0.2">
      <c r="A141" s="238" t="s">
        <v>187</v>
      </c>
      <c r="B141" s="213" t="s">
        <v>314</v>
      </c>
      <c r="C141" s="206" t="s">
        <v>315</v>
      </c>
      <c r="D141" s="207" t="s">
        <v>274</v>
      </c>
      <c r="E141" s="208">
        <v>0.25</v>
      </c>
      <c r="F141" s="239">
        <v>25.95</v>
      </c>
      <c r="G141" s="212">
        <f t="shared" si="16"/>
        <v>6.48</v>
      </c>
      <c r="H141" s="224">
        <v>25.95</v>
      </c>
      <c r="I141" s="212">
        <f t="shared" si="17"/>
        <v>6.48</v>
      </c>
      <c r="K141" s="196"/>
      <c r="L141" s="196"/>
    </row>
    <row r="142" spans="1:12" s="7" customFormat="1" ht="24" x14ac:dyDescent="0.2">
      <c r="A142" s="238" t="s">
        <v>190</v>
      </c>
      <c r="B142" s="213" t="s">
        <v>316</v>
      </c>
      <c r="C142" s="206" t="s">
        <v>317</v>
      </c>
      <c r="D142" s="207" t="s">
        <v>106</v>
      </c>
      <c r="E142" s="208">
        <v>1.4999999999999999E-2</v>
      </c>
      <c r="F142" s="239">
        <v>440.48</v>
      </c>
      <c r="G142" s="212">
        <f t="shared" si="16"/>
        <v>6.6</v>
      </c>
      <c r="H142" s="224">
        <v>450.34</v>
      </c>
      <c r="I142" s="212">
        <f t="shared" si="17"/>
        <v>6.75</v>
      </c>
      <c r="K142" s="196"/>
      <c r="L142" s="196"/>
    </row>
    <row r="143" spans="1:12" s="7" customFormat="1" ht="14.45" customHeight="1" x14ac:dyDescent="0.2">
      <c r="A143" s="241"/>
      <c r="B143" s="242"/>
      <c r="C143" s="242"/>
      <c r="D143" s="242"/>
      <c r="E143" s="243"/>
      <c r="F143" s="74" t="s">
        <v>195</v>
      </c>
      <c r="G143" s="244">
        <f>TRUNC(SUM(G136:G142),2)</f>
        <v>218.91</v>
      </c>
      <c r="H143" s="75" t="s">
        <v>195</v>
      </c>
      <c r="I143" s="245">
        <f>TRUNC(SUM(I136:I142),2)</f>
        <v>230.01</v>
      </c>
      <c r="K143" s="196"/>
      <c r="L143" s="196"/>
    </row>
    <row r="584" spans="12:12" x14ac:dyDescent="0.2">
      <c r="L584" s="246" t="e">
        <f>#REF!</f>
        <v>#REF!</v>
      </c>
    </row>
  </sheetData>
  <mergeCells count="81">
    <mergeCell ref="F134:G134"/>
    <mergeCell ref="H134:I134"/>
    <mergeCell ref="D130:I131"/>
    <mergeCell ref="F114:G114"/>
    <mergeCell ref="H114:I114"/>
    <mergeCell ref="A127:I128"/>
    <mergeCell ref="A129:B133"/>
    <mergeCell ref="D129:I129"/>
    <mergeCell ref="C130:C131"/>
    <mergeCell ref="E132:E133"/>
    <mergeCell ref="F132:G133"/>
    <mergeCell ref="H132:I133"/>
    <mergeCell ref="F96:G96"/>
    <mergeCell ref="H96:I96"/>
    <mergeCell ref="A107:I108"/>
    <mergeCell ref="A109:B113"/>
    <mergeCell ref="D109:I109"/>
    <mergeCell ref="C110:C111"/>
    <mergeCell ref="E112:E113"/>
    <mergeCell ref="F112:G113"/>
    <mergeCell ref="H112:I113"/>
    <mergeCell ref="D110:I111"/>
    <mergeCell ref="A89:I90"/>
    <mergeCell ref="A91:B95"/>
    <mergeCell ref="D91:I91"/>
    <mergeCell ref="C92:C93"/>
    <mergeCell ref="D92:I93"/>
    <mergeCell ref="E94:E95"/>
    <mergeCell ref="F94:G95"/>
    <mergeCell ref="H94:I95"/>
    <mergeCell ref="F78:G78"/>
    <mergeCell ref="H78:I78"/>
    <mergeCell ref="E47:E48"/>
    <mergeCell ref="E76:E77"/>
    <mergeCell ref="E62:E63"/>
    <mergeCell ref="A71:I72"/>
    <mergeCell ref="A73:B77"/>
    <mergeCell ref="D73:I73"/>
    <mergeCell ref="C74:C75"/>
    <mergeCell ref="D74:I75"/>
    <mergeCell ref="F76:G77"/>
    <mergeCell ref="H76:I77"/>
    <mergeCell ref="A59:B63"/>
    <mergeCell ref="D59:I59"/>
    <mergeCell ref="C60:C61"/>
    <mergeCell ref="D60:I61"/>
    <mergeCell ref="F64:G64"/>
    <mergeCell ref="H64:I64"/>
    <mergeCell ref="F49:G49"/>
    <mergeCell ref="H49:I49"/>
    <mergeCell ref="A57:I58"/>
    <mergeCell ref="A2:I2"/>
    <mergeCell ref="A41:I42"/>
    <mergeCell ref="A43:B48"/>
    <mergeCell ref="D43:I43"/>
    <mergeCell ref="C44:C46"/>
    <mergeCell ref="D44:I46"/>
    <mergeCell ref="F47:G48"/>
    <mergeCell ref="H47:I48"/>
    <mergeCell ref="A8:I9"/>
    <mergeCell ref="A10:B15"/>
    <mergeCell ref="D10:I10"/>
    <mergeCell ref="C11:C13"/>
    <mergeCell ref="D11:I13"/>
    <mergeCell ref="E14:E15"/>
    <mergeCell ref="F14:G15"/>
    <mergeCell ref="H14:I15"/>
    <mergeCell ref="F30:G30"/>
    <mergeCell ref="H30:I30"/>
    <mergeCell ref="F62:G63"/>
    <mergeCell ref="H62:I63"/>
    <mergeCell ref="F16:G16"/>
    <mergeCell ref="H16:I16"/>
    <mergeCell ref="A22:I23"/>
    <mergeCell ref="A24:B29"/>
    <mergeCell ref="D24:I24"/>
    <mergeCell ref="C25:C27"/>
    <mergeCell ref="D25:I27"/>
    <mergeCell ref="E28:E29"/>
    <mergeCell ref="F28:G29"/>
    <mergeCell ref="H28:I29"/>
  </mergeCells>
  <conditionalFormatting sqref="L6">
    <cfRule type="expression" dxfId="1" priority="9" stopIfTrue="1">
      <formula>AND($A6&lt;&gt;"COMPOSICAO",$A6&lt;&gt;"INSUMO",$A6&lt;&gt;"")</formula>
    </cfRule>
    <cfRule type="expression" dxfId="0" priority="10" stopIfTrue="1">
      <formula>AND(OR($A6="COMPOSICAO",$A6="INSUMO",$A6&lt;&gt;""),$A6&lt;&gt;"")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67" fitToHeight="0" orientation="portrait" r:id="rId1"/>
  <headerFooter>
    <oddHeader>&amp;C&amp;G</oddHeader>
    <oddFooter>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tabSelected="1" view="pageBreakPreview" topLeftCell="A28" zoomScaleSheetLayoutView="100" workbookViewId="0">
      <selection activeCell="F25" sqref="F25"/>
    </sheetView>
  </sheetViews>
  <sheetFormatPr defaultRowHeight="15" x14ac:dyDescent="0.25"/>
  <cols>
    <col min="1" max="1" width="1.140625" customWidth="1"/>
    <col min="2" max="2" width="75.7109375" customWidth="1"/>
    <col min="3" max="3" width="10.140625" style="162" bestFit="1" customWidth="1"/>
    <col min="4" max="4" width="12" style="162" customWidth="1"/>
    <col min="5" max="5" width="11.42578125" customWidth="1"/>
    <col min="6" max="6" width="62.5703125" customWidth="1"/>
  </cols>
  <sheetData>
    <row r="1" spans="2:6" s="128" customFormat="1" ht="6.75" customHeight="1" x14ac:dyDescent="0.2">
      <c r="C1" s="129"/>
      <c r="D1" s="129"/>
    </row>
    <row r="2" spans="2:6" s="128" customFormat="1" ht="18.75" x14ac:dyDescent="0.3">
      <c r="B2" s="300" t="s">
        <v>55</v>
      </c>
      <c r="C2" s="300"/>
      <c r="D2" s="300"/>
    </row>
    <row r="3" spans="2:6" s="131" customFormat="1" ht="11.25" x14ac:dyDescent="0.2">
      <c r="B3" s="130"/>
      <c r="C3" s="130"/>
      <c r="D3" s="130"/>
    </row>
    <row r="4" spans="2:6" s="128" customFormat="1" ht="16.5" x14ac:dyDescent="0.3">
      <c r="B4" s="301" t="s">
        <v>457</v>
      </c>
      <c r="C4" s="301"/>
      <c r="D4" s="301"/>
    </row>
    <row r="5" spans="2:6" s="128" customFormat="1" ht="12.75" x14ac:dyDescent="0.2">
      <c r="B5" s="132"/>
      <c r="C5" s="132"/>
      <c r="D5" s="132"/>
    </row>
    <row r="6" spans="2:6" s="1" customFormat="1" ht="30" customHeight="1" x14ac:dyDescent="0.25">
      <c r="B6" s="302" t="e">
        <f>#REF!</f>
        <v>#REF!</v>
      </c>
      <c r="C6" s="302"/>
      <c r="D6" s="302"/>
    </row>
    <row r="7" spans="2:6" s="1" customFormat="1" x14ac:dyDescent="0.25">
      <c r="B7" s="302" t="e">
        <f>#REF!</f>
        <v>#REF!</v>
      </c>
      <c r="C7" s="302"/>
      <c r="D7" s="302"/>
    </row>
    <row r="8" spans="2:6" s="1" customFormat="1" x14ac:dyDescent="0.2">
      <c r="B8" s="303" t="e">
        <f>#REF!</f>
        <v>#REF!</v>
      </c>
      <c r="C8" s="303"/>
      <c r="D8" s="303"/>
    </row>
    <row r="9" spans="2:6" s="128" customFormat="1" ht="12.75" x14ac:dyDescent="0.2">
      <c r="B9" s="133"/>
      <c r="C9" s="134"/>
      <c r="D9" s="134"/>
    </row>
    <row r="10" spans="2:6" s="128" customFormat="1" ht="22.5" customHeight="1" x14ac:dyDescent="0.25">
      <c r="B10" s="135" t="s">
        <v>56</v>
      </c>
      <c r="C10" s="136" t="s">
        <v>57</v>
      </c>
      <c r="D10" s="136" t="s">
        <v>58</v>
      </c>
      <c r="F10" s="137" t="s">
        <v>59</v>
      </c>
    </row>
    <row r="11" spans="2:6" s="128" customFormat="1" x14ac:dyDescent="0.25">
      <c r="B11" s="138"/>
      <c r="C11" s="139"/>
      <c r="D11" s="139"/>
    </row>
    <row r="12" spans="2:6" s="128" customFormat="1" x14ac:dyDescent="0.25">
      <c r="B12" s="140" t="s">
        <v>60</v>
      </c>
      <c r="C12" s="141" t="s">
        <v>61</v>
      </c>
      <c r="D12" s="142">
        <v>0.04</v>
      </c>
      <c r="E12" s="128" t="s">
        <v>85</v>
      </c>
      <c r="F12" s="143" t="s">
        <v>458</v>
      </c>
    </row>
    <row r="13" spans="2:6" s="128" customFormat="1" x14ac:dyDescent="0.25">
      <c r="B13" s="140"/>
      <c r="C13" s="141"/>
      <c r="D13" s="144"/>
    </row>
    <row r="14" spans="2:6" s="128" customFormat="1" x14ac:dyDescent="0.25">
      <c r="B14" s="140" t="s">
        <v>62</v>
      </c>
      <c r="C14" s="141" t="s">
        <v>63</v>
      </c>
      <c r="D14" s="142">
        <v>1.23E-2</v>
      </c>
      <c r="E14" s="128" t="s">
        <v>85</v>
      </c>
      <c r="F14" s="143" t="s">
        <v>459</v>
      </c>
    </row>
    <row r="15" spans="2:6" s="128" customFormat="1" x14ac:dyDescent="0.25">
      <c r="B15" s="140"/>
      <c r="C15" s="141"/>
      <c r="D15" s="145"/>
    </row>
    <row r="16" spans="2:6" s="128" customFormat="1" x14ac:dyDescent="0.25">
      <c r="B16" s="140" t="s">
        <v>64</v>
      </c>
      <c r="C16" s="141" t="s">
        <v>65</v>
      </c>
      <c r="D16" s="142">
        <v>9.7000000000000003E-3</v>
      </c>
      <c r="E16" s="128" t="s">
        <v>85</v>
      </c>
      <c r="F16" s="143" t="s">
        <v>460</v>
      </c>
    </row>
    <row r="17" spans="2:6" s="128" customFormat="1" x14ac:dyDescent="0.25">
      <c r="B17" s="140"/>
      <c r="C17" s="141"/>
      <c r="D17" s="145"/>
    </row>
    <row r="18" spans="2:6" s="128" customFormat="1" x14ac:dyDescent="0.25">
      <c r="B18" s="146" t="s">
        <v>89</v>
      </c>
      <c r="C18" s="147" t="s">
        <v>90</v>
      </c>
      <c r="D18" s="148">
        <v>8.0000000000000002E-3</v>
      </c>
      <c r="E18" s="128" t="s">
        <v>86</v>
      </c>
      <c r="F18" s="149" t="s">
        <v>461</v>
      </c>
    </row>
    <row r="19" spans="2:6" s="128" customFormat="1" x14ac:dyDescent="0.25">
      <c r="B19" s="140"/>
      <c r="C19" s="141"/>
      <c r="D19" s="150"/>
    </row>
    <row r="20" spans="2:6" s="128" customFormat="1" x14ac:dyDescent="0.25">
      <c r="B20" s="140" t="s">
        <v>66</v>
      </c>
      <c r="C20" s="141" t="s">
        <v>66</v>
      </c>
      <c r="D20" s="150">
        <v>0.03</v>
      </c>
    </row>
    <row r="21" spans="2:6" s="128" customFormat="1" x14ac:dyDescent="0.25">
      <c r="B21" s="140" t="s">
        <v>67</v>
      </c>
      <c r="C21" s="141" t="s">
        <v>68</v>
      </c>
      <c r="D21" s="150">
        <v>0.02</v>
      </c>
      <c r="E21" s="151">
        <f>0.05*0.4</f>
        <v>2.0000000000000004E-2</v>
      </c>
    </row>
    <row r="22" spans="2:6" s="128" customFormat="1" x14ac:dyDescent="0.25">
      <c r="B22" s="140" t="s">
        <v>69</v>
      </c>
      <c r="C22" s="141" t="s">
        <v>69</v>
      </c>
      <c r="D22" s="150">
        <v>6.4999999999999997E-3</v>
      </c>
    </row>
    <row r="23" spans="2:6" s="128" customFormat="1" hidden="1" x14ac:dyDescent="0.25">
      <c r="B23" s="140" t="s">
        <v>70</v>
      </c>
      <c r="C23" s="141" t="s">
        <v>71</v>
      </c>
      <c r="D23" s="150"/>
      <c r="E23" s="128" t="s">
        <v>72</v>
      </c>
    </row>
    <row r="24" spans="2:6" s="128" customFormat="1" x14ac:dyDescent="0.25">
      <c r="B24" s="140" t="s">
        <v>83</v>
      </c>
      <c r="C24" s="141" t="s">
        <v>73</v>
      </c>
      <c r="D24" s="142">
        <f>SUM(D20:D23)</f>
        <v>5.6500000000000002E-2</v>
      </c>
    </row>
    <row r="25" spans="2:6" s="128" customFormat="1" x14ac:dyDescent="0.25">
      <c r="B25" s="140"/>
      <c r="C25" s="141"/>
      <c r="D25" s="150"/>
    </row>
    <row r="26" spans="2:6" s="128" customFormat="1" x14ac:dyDescent="0.25">
      <c r="B26" s="140" t="s">
        <v>74</v>
      </c>
      <c r="C26" s="141" t="s">
        <v>75</v>
      </c>
      <c r="D26" s="142">
        <v>6.1800000000000001E-2</v>
      </c>
      <c r="E26" s="128" t="s">
        <v>87</v>
      </c>
      <c r="F26" s="143" t="s">
        <v>462</v>
      </c>
    </row>
    <row r="27" spans="2:6" s="128" customFormat="1" x14ac:dyDescent="0.25">
      <c r="B27" s="138"/>
      <c r="C27" s="139"/>
      <c r="D27" s="152"/>
    </row>
    <row r="28" spans="2:6" s="128" customFormat="1" x14ac:dyDescent="0.25">
      <c r="B28" s="153" t="s">
        <v>76</v>
      </c>
      <c r="C28" s="154"/>
      <c r="D28" s="142">
        <f>ROUND((((1+D12+D18+D16)*(1+D14)*(1+D26))/(1-D24))-1,4)</f>
        <v>0.20499999999999999</v>
      </c>
      <c r="E28" s="155" t="s">
        <v>88</v>
      </c>
    </row>
    <row r="29" spans="2:6" s="128" customFormat="1" ht="12.75" x14ac:dyDescent="0.2">
      <c r="C29" s="129"/>
      <c r="D29" s="156"/>
      <c r="F29" s="143" t="s">
        <v>463</v>
      </c>
    </row>
    <row r="30" spans="2:6" s="128" customFormat="1" ht="12.75" x14ac:dyDescent="0.2">
      <c r="C30" s="129"/>
      <c r="D30" s="129"/>
    </row>
    <row r="31" spans="2:6" s="128" customFormat="1" ht="12.75" x14ac:dyDescent="0.2">
      <c r="C31" s="129"/>
      <c r="D31" s="129"/>
    </row>
    <row r="32" spans="2:6" s="128" customFormat="1" ht="15.75" x14ac:dyDescent="0.25">
      <c r="B32" s="157" t="s">
        <v>77</v>
      </c>
      <c r="C32" s="129"/>
      <c r="D32" s="129"/>
    </row>
    <row r="33" spans="2:6" x14ac:dyDescent="0.25">
      <c r="B33" s="158"/>
      <c r="C33" s="159"/>
      <c r="D33" s="160"/>
    </row>
    <row r="34" spans="2:6" x14ac:dyDescent="0.25">
      <c r="B34" s="161"/>
      <c r="D34" s="163"/>
    </row>
    <row r="35" spans="2:6" x14ac:dyDescent="0.25">
      <c r="B35" s="161"/>
      <c r="D35" s="163"/>
    </row>
    <row r="36" spans="2:6" x14ac:dyDescent="0.25">
      <c r="B36" s="161"/>
      <c r="D36" s="163"/>
    </row>
    <row r="37" spans="2:6" s="167" customFormat="1" x14ac:dyDescent="0.25">
      <c r="B37" s="164"/>
      <c r="C37" s="165"/>
      <c r="D37" s="166"/>
    </row>
    <row r="38" spans="2:6" s="167" customFormat="1" x14ac:dyDescent="0.25">
      <c r="B38" s="168"/>
      <c r="C38" s="169"/>
      <c r="D38" s="170"/>
    </row>
    <row r="39" spans="2:6" s="167" customFormat="1" x14ac:dyDescent="0.25">
      <c r="B39" s="171"/>
      <c r="C39" s="172"/>
      <c r="D39" s="172"/>
    </row>
    <row r="40" spans="2:6" s="167" customFormat="1" x14ac:dyDescent="0.25">
      <c r="B40" s="171" t="s">
        <v>78</v>
      </c>
      <c r="C40" s="172"/>
      <c r="D40" s="172"/>
    </row>
    <row r="41" spans="2:6" s="173" customFormat="1" x14ac:dyDescent="0.25">
      <c r="B41" s="295" t="s">
        <v>79</v>
      </c>
      <c r="C41" s="295"/>
      <c r="D41" s="295"/>
    </row>
    <row r="42" spans="2:6" s="173" customFormat="1" ht="66" customHeight="1" x14ac:dyDescent="0.25">
      <c r="B42" s="295" t="s">
        <v>331</v>
      </c>
      <c r="C42" s="295"/>
      <c r="D42" s="295"/>
    </row>
    <row r="43" spans="2:6" s="167" customFormat="1" ht="98.25" hidden="1" customHeight="1" x14ac:dyDescent="0.25">
      <c r="B43" s="296" t="s">
        <v>464</v>
      </c>
      <c r="C43" s="296"/>
      <c r="D43" s="296"/>
      <c r="F43" s="174" t="s">
        <v>80</v>
      </c>
    </row>
    <row r="46" spans="2:6" x14ac:dyDescent="0.25">
      <c r="B46" t="s">
        <v>81</v>
      </c>
    </row>
    <row r="47" spans="2:6" ht="135" customHeight="1" x14ac:dyDescent="0.25">
      <c r="B47" s="297" t="s">
        <v>465</v>
      </c>
      <c r="C47" s="298"/>
      <c r="D47" s="299"/>
    </row>
    <row r="59" spans="2:4" s="128" customFormat="1" ht="12.75" x14ac:dyDescent="0.2">
      <c r="C59" s="129"/>
      <c r="D59" s="129"/>
    </row>
    <row r="60" spans="2:4" s="128" customFormat="1" ht="12.75" x14ac:dyDescent="0.2">
      <c r="C60" s="129"/>
      <c r="D60" s="129"/>
    </row>
    <row r="61" spans="2:4" x14ac:dyDescent="0.25">
      <c r="B61" t="s">
        <v>82</v>
      </c>
    </row>
  </sheetData>
  <mergeCells count="9">
    <mergeCell ref="B41:D41"/>
    <mergeCell ref="B42:D42"/>
    <mergeCell ref="B43:D43"/>
    <mergeCell ref="B47:D47"/>
    <mergeCell ref="B2:D2"/>
    <mergeCell ref="B4:D4"/>
    <mergeCell ref="B6:D6"/>
    <mergeCell ref="B7:D7"/>
    <mergeCell ref="B8:D8"/>
  </mergeCells>
  <printOptions horizontalCentered="1"/>
  <pageMargins left="0.59055118110236227" right="0.59055118110236227" top="1.3779527559055118" bottom="0.78740157480314965" header="0.39370078740157483" footer="0.39370078740157483"/>
  <pageSetup paperSize="9" scale="88" orientation="portrait" horizontalDpi="300" verticalDpi="300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3313" r:id="rId5">
          <objectPr defaultSize="0" autoPict="0" r:id="rId6">
            <anchor moveWithCells="1" sizeWithCells="1">
              <from>
                <xdr:col>1</xdr:col>
                <xdr:colOff>19050</xdr:colOff>
                <xdr:row>32</xdr:row>
                <xdr:rowOff>152400</xdr:rowOff>
              </from>
              <to>
                <xdr:col>1</xdr:col>
                <xdr:colOff>4648200</xdr:colOff>
                <xdr:row>36</xdr:row>
                <xdr:rowOff>161925</xdr:rowOff>
              </to>
            </anchor>
          </objectPr>
        </oleObject>
      </mc:Choice>
      <mc:Fallback>
        <oleObject progId="Equation.3" shapeId="1331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ORÇAMENTO</vt:lpstr>
      <vt:lpstr>CRONOGRAMA</vt:lpstr>
      <vt:lpstr>COMPOSIÇÕES PRÓPRIAS</vt:lpstr>
      <vt:lpstr>COMP_BDI_EDIFICACOES</vt:lpstr>
      <vt:lpstr>COMP_BDI_EDIFICACOES!Area_de_impressao</vt:lpstr>
      <vt:lpstr>'COMPOSIÇÕES PRÓPRIAS'!Area_de_impressao</vt:lpstr>
      <vt:lpstr>CRONOGRAMA!Area_de_impressao</vt:lpstr>
      <vt:lpstr>ORÇAMENTO!Area_de_impressao</vt:lpstr>
      <vt:lpstr>BDI_EDIF_com_Desoneracao</vt:lpstr>
      <vt:lpstr>'COMPOSIÇÕES PRÓPRIAS'!Titulos_de_impressao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2024-05-17T17:54:36Z</dcterms:modified>
</cp:coreProperties>
</file>