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24226"/>
  <xr:revisionPtr revIDLastSave="0" documentId="13_ncr:1_{6841EFCA-33AC-4399-9DF2-DB9A697D55C1}" xr6:coauthVersionLast="47" xr6:coauthVersionMax="47" xr10:uidLastSave="{00000000-0000-0000-0000-000000000000}"/>
  <bookViews>
    <workbookView xWindow="-120" yWindow="-120" windowWidth="20730" windowHeight="11160" tabRatio="908" xr2:uid="{00000000-000D-0000-FFFF-FFFF00000000}"/>
  </bookViews>
  <sheets>
    <sheet name="Orçamento" sheetId="54" r:id="rId1"/>
    <sheet name="MC" sheetId="55" state="hidden" r:id="rId2"/>
    <sheet name="CRONOGRAMA" sheetId="8" r:id="rId3"/>
    <sheet name="COMPOSIÇÕES" sheetId="41" r:id="rId4"/>
    <sheet name="COMP_BDI_EDIFICACOES" sheetId="22" r:id="rId5"/>
    <sheet name="Composição de encargos" sheetId="5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d">#N/A</definedName>
    <definedName name="\f">#N/A</definedName>
    <definedName name="\p">#N/A</definedName>
    <definedName name="__123Graph_A" localSheetId="3" hidden="1">#REF!</definedName>
    <definedName name="__123Graph_A" hidden="1">#REF!</definedName>
    <definedName name="__123Graph_B" localSheetId="3" hidden="1">#REF!</definedName>
    <definedName name="__123Graph_B" hidden="1">#REF!</definedName>
    <definedName name="__123Graph_C" localSheetId="3" hidden="1">#REF!</definedName>
    <definedName name="__123Graph_C" hidden="1">#REF!</definedName>
    <definedName name="__123Graph_D" hidden="1">'[1]Etapa Única'!$C$125:$C$134</definedName>
    <definedName name="__123Graph_E" hidden="1">'[1]Etapa Única'!$E$125:$E$134</definedName>
    <definedName name="__123Graph_X" localSheetId="3" hidden="1">#REF!</definedName>
    <definedName name="__123Graph_X" hidden="1">#REF!</definedName>
    <definedName name="_BSADJ" localSheetId="3">#REF!</definedName>
    <definedName name="_BSADJ">#REF!</definedName>
    <definedName name="_BSTGT" localSheetId="3">#REF!</definedName>
    <definedName name="_BSTGT">#REF!</definedName>
    <definedName name="_xlnm._FilterDatabase" localSheetId="1" hidden="1">MC!$A$10:$I$847</definedName>
    <definedName name="_xlnm._FilterDatabase" localSheetId="0" hidden="1">Orçamento!$A$9:$I$109</definedName>
    <definedName name="_IND1" localSheetId="3">#REF!</definedName>
    <definedName name="_IND1">#REF!</definedName>
    <definedName name="_IND2" localSheetId="3">#REF!</definedName>
    <definedName name="_IND2">#REF!</definedName>
    <definedName name="_MM" localSheetId="3" hidden="1">#REF!</definedName>
    <definedName name="_MM" hidden="1">#REF!</definedName>
    <definedName name="a" localSheetId="3">#REF!</definedName>
    <definedName name="a">#REF!</definedName>
    <definedName name="acha.coluna" localSheetId="3">#REF!</definedName>
    <definedName name="acha.coluna">#REF!</definedName>
    <definedName name="acha.dados" localSheetId="3">#REF!</definedName>
    <definedName name="acha.dados">#REF!</definedName>
    <definedName name="acha.dados2" localSheetId="3">#REF!</definedName>
    <definedName name="acha.dados2">#REF!</definedName>
    <definedName name="acha.linha" localSheetId="3">#REF!</definedName>
    <definedName name="acha.linha">#REF!</definedName>
    <definedName name="acha.linha2" localSheetId="3">#REF!</definedName>
    <definedName name="acha.linha2">#REF!</definedName>
    <definedName name="_xlnm.Print_Area" localSheetId="4">COMP_BDI_EDIFICACOES!$B$2:$D$44</definedName>
    <definedName name="_xlnm.Print_Area" localSheetId="3">COMPOSIÇÕES!$A$1:$I$194</definedName>
    <definedName name="_xlnm.Print_Area" localSheetId="2">CRONOGRAMA!$A$1:$M$61</definedName>
    <definedName name="_xlnm.Print_Area" localSheetId="1">MC!$A$1:$I$847</definedName>
    <definedName name="_xlnm.Print_Area" localSheetId="0">Orçamento!$A$1:$I$108</definedName>
    <definedName name="Área_impressão_IM" localSheetId="3">#REF!</definedName>
    <definedName name="Área_impressão_IM">#REF!</definedName>
    <definedName name="Área_impressão_IM2" localSheetId="3">#REF!</definedName>
    <definedName name="Área_impressão_IM2">#REF!</definedName>
    <definedName name="AreaTeste" localSheetId="3">#REF!</definedName>
    <definedName name="AreaTeste">#REF!</definedName>
    <definedName name="AreaTeste2" localSheetId="3">#REF!</definedName>
    <definedName name="AreaTeste2">#REF!</definedName>
    <definedName name="ATUALIZANDO">#REF!</definedName>
    <definedName name="_xlnm.Database" localSheetId="3">#REF!</definedName>
    <definedName name="_xlnm.Database">#REF!</definedName>
    <definedName name="bdi" localSheetId="3">#REF!</definedName>
    <definedName name="bdi">#REF!</definedName>
    <definedName name="BDI_EDIF_com_Desoneracao">COMP_BDI_EDIFICACOES!$D$28</definedName>
    <definedName name="BDI_EDIF_sem_Desoneracao">#REF!</definedName>
    <definedName name="BDIlds">'[2]LIGAÇÕES DOMICILIARES (SER)'!$K$13</definedName>
    <definedName name="BDIm" localSheetId="3">#REF!</definedName>
    <definedName name="BDIm">#REF!</definedName>
    <definedName name="BDIs">[3]Serv!$I$11</definedName>
    <definedName name="cb" localSheetId="3">#REF!</definedName>
    <definedName name="cb">#REF!</definedName>
    <definedName name="ccc" localSheetId="3">#REF!</definedName>
    <definedName name="ccc">#REF!</definedName>
    <definedName name="CélulaInicioPlanilha" localSheetId="3">#REF!</definedName>
    <definedName name="CélulaInicioPlanilha">#REF!</definedName>
    <definedName name="CélulaResumo" localSheetId="3">#REF!</definedName>
    <definedName name="CélulaResumo">#REF!</definedName>
    <definedName name="cer" localSheetId="3">#REF!</definedName>
    <definedName name="cer">#REF!</definedName>
    <definedName name="_xlnm.Criteria" localSheetId="3">#REF!</definedName>
    <definedName name="_xlnm.Criteria">#REF!</definedName>
    <definedName name="CRITERIOS2" localSheetId="3">#REF!</definedName>
    <definedName name="CRITERIOS2">#REF!</definedName>
    <definedName name="dssds" localSheetId="3">#REF!</definedName>
    <definedName name="dssds">#REF!</definedName>
    <definedName name="EMPRESAS">OFFSET([4]COTAÇÕES!$C$26,1,0):OFFSET([4]COTAÇÕES!$I$42,-1,0)</definedName>
    <definedName name="Exist" localSheetId="3">#REF!</definedName>
    <definedName name="Exist">#REF!</definedName>
    <definedName name="F" localSheetId="3" hidden="1">#REF!</definedName>
    <definedName name="F" hidden="1">#REF!</definedName>
    <definedName name="fdfd" localSheetId="3">#REF!</definedName>
    <definedName name="fdfd">#REF!</definedName>
    <definedName name="g" localSheetId="3" hidden="1">#REF!</definedName>
    <definedName name="g" hidden="1">#REF!</definedName>
    <definedName name="h" localSheetId="3" hidden="1">#REF!</definedName>
    <definedName name="h" hidden="1">#REF!</definedName>
    <definedName name="I" localSheetId="3" hidden="1">[5]Poço!#REF!</definedName>
    <definedName name="I" hidden="1">[5]Poço!#REF!</definedName>
    <definedName name="INCC">[3]Mat!$J$9</definedName>
    <definedName name="INCC1">[3]Serv!$I$10</definedName>
    <definedName name="INDICES">OFFSET([4]COTAÇÕES!$C$21,1,0):OFFSET([4]COTAÇÕES!$J$25,-1,0)</definedName>
    <definedName name="j" localSheetId="3">#REF!</definedName>
    <definedName name="j">#REF!</definedName>
    <definedName name="jfhdskjg" localSheetId="3">#REF!</definedName>
    <definedName name="jfhdskjg">#REF!</definedName>
    <definedName name="K" localSheetId="3">#REF!</definedName>
    <definedName name="K">#REF!</definedName>
    <definedName name="kapa">[6]resumo!$D$2</definedName>
    <definedName name="KAPA1" localSheetId="3">#REF!</definedName>
    <definedName name="KAPA1">#REF!</definedName>
    <definedName name="KAPAs">[3]Serv!$E$9</definedName>
    <definedName name="Ks">'[7]SERVIÇOS '!$G$10</definedName>
    <definedName name="lista" localSheetId="3">#REF!</definedName>
    <definedName name="lista">#REF!</definedName>
    <definedName name="lista.coluna" localSheetId="3">#REF!</definedName>
    <definedName name="lista.coluna">#REF!</definedName>
    <definedName name="lista.linha" localSheetId="3">#REF!</definedName>
    <definedName name="lista.linha">#REF!</definedName>
    <definedName name="Macro1">#N/A</definedName>
    <definedName name="MATBDI" localSheetId="3">#REF!</definedName>
    <definedName name="MATBDI">#REF!</definedName>
    <definedName name="nil" localSheetId="3">#REF!</definedName>
    <definedName name="nil">#REF!</definedName>
    <definedName name="nilo" localSheetId="3">#REF!</definedName>
    <definedName name="nilo">#REF!</definedName>
    <definedName name="ok">#REF!</definedName>
    <definedName name="orçamento" localSheetId="3">#REF!</definedName>
    <definedName name="orçamento">#REF!</definedName>
    <definedName name="POP" localSheetId="3">#REF!</definedName>
    <definedName name="POP">#REF!</definedName>
    <definedName name="Print_Area_MI" localSheetId="3">#REF!</definedName>
    <definedName name="Print_Area_MI">#REF!</definedName>
    <definedName name="PRINT2" localSheetId="3">#REF!</definedName>
    <definedName name="PRINT2">#REF!</definedName>
    <definedName name="QTD">[8]Serviços!$E$7</definedName>
    <definedName name="Recalque" localSheetId="3">#REF!</definedName>
    <definedName name="Recalque">#REF!</definedName>
    <definedName name="Referencia.Descricao">IF(ISNUMBER([9]PO!linhaSINAPIxls),INDEX(INDIRECT("'[Referência "&amp;_xlnm.Database&amp;".xls]Banco'!$b:$g"),[9]PO!linhaSINAPIxls,3),"")</definedName>
    <definedName name="Referencia.Unidade">IF(ISNUMBER([9]PO!linhaSINAPIxls),INDEX(INDIRECT("'[Referência "&amp;_xlnm.Database&amp;".xls]Banco'!$b:$g"),[9]PO!linhaSINAPIxls,4),"")</definedName>
    <definedName name="s" localSheetId="3">#REF!</definedName>
    <definedName name="s">#REF!</definedName>
    <definedName name="sadsdf" localSheetId="3">#REF!</definedName>
    <definedName name="sadsdf">#REF!</definedName>
    <definedName name="sddddddddddd" localSheetId="3">#REF!</definedName>
    <definedName name="sddddddddddd">#REF!</definedName>
    <definedName name="TABELA" localSheetId="3">'[10]PLANILHA FONTE'!$B$1:$G$290</definedName>
    <definedName name="TABELA">'[11]PLANILHA FONTE'!$B$1:$G$290</definedName>
    <definedName name="TipoOrçamento">"BASE"</definedName>
    <definedName name="_xlnm.Print_Titles" localSheetId="3">COMPOSIÇÕES!$2:$6</definedName>
    <definedName name="_xlnm.Print_Titles" localSheetId="2">CRONOGRAMA!$1:$9</definedName>
    <definedName name="_xlnm.Print_Titles" localSheetId="1">MC!$1:$10</definedName>
    <definedName name="_xlnm.Print_Titles" localSheetId="0">Orçamento!$1:$9</definedName>
    <definedName name="truncar" localSheetId="3">[3]Serv!#REF!</definedName>
    <definedName name="truncar">[3]Serv!#REF!</definedName>
    <definedName name="vhvb" localSheetId="3">#REF!</definedName>
    <definedName name="vhvb">#REF!</definedName>
    <definedName name="vvvvvvvvvvvvvv" localSheetId="3">#REF!</definedName>
    <definedName name="vvvvvvvvvvvvvv">#REF!</definedName>
  </definedNames>
  <calcPr calcId="191029"/>
</workbook>
</file>

<file path=xl/calcChain.xml><?xml version="1.0" encoding="utf-8"?>
<calcChain xmlns="http://schemas.openxmlformats.org/spreadsheetml/2006/main">
  <c r="I54" i="41" l="1"/>
  <c r="G54" i="41"/>
  <c r="I53" i="41"/>
  <c r="G53" i="41"/>
  <c r="I52" i="41"/>
  <c r="G52" i="41"/>
  <c r="I51" i="41"/>
  <c r="G51" i="41"/>
  <c r="I50" i="41"/>
  <c r="G50" i="41"/>
  <c r="I49" i="41"/>
  <c r="G49" i="41"/>
  <c r="I48" i="41"/>
  <c r="I55" i="41" s="1"/>
  <c r="G48" i="41"/>
  <c r="G55" i="41" s="1"/>
  <c r="A7" i="56"/>
  <c r="A6" i="56"/>
  <c r="A5" i="56"/>
  <c r="G43" i="56"/>
  <c r="F43" i="56"/>
  <c r="D43" i="56"/>
  <c r="C43" i="56"/>
  <c r="G35" i="56"/>
  <c r="F35" i="56"/>
  <c r="D35" i="56"/>
  <c r="C35" i="56"/>
  <c r="G22" i="56"/>
  <c r="F22" i="56"/>
  <c r="D22" i="56"/>
  <c r="C22" i="56"/>
  <c r="C47" i="56" s="1"/>
  <c r="C46" i="56" l="1"/>
  <c r="C48" i="56" s="1"/>
  <c r="C50" i="56" s="1"/>
  <c r="D46" i="56"/>
  <c r="D47" i="56"/>
  <c r="F46" i="56"/>
  <c r="F48" i="56" s="1"/>
  <c r="F50" i="56" s="1"/>
  <c r="F47" i="56"/>
  <c r="G46" i="56"/>
  <c r="G47" i="56"/>
  <c r="G48" i="56" l="1"/>
  <c r="G50" i="56" s="1"/>
  <c r="D48" i="56"/>
  <c r="D50" i="56" s="1"/>
  <c r="B8" i="22" l="1"/>
  <c r="B7" i="22"/>
  <c r="B6" i="22"/>
  <c r="A6" i="41"/>
  <c r="A5" i="41"/>
  <c r="A4" i="41"/>
  <c r="B5" i="8"/>
  <c r="B4" i="8"/>
  <c r="B3" i="8"/>
  <c r="D14" i="8"/>
  <c r="M14" i="8"/>
  <c r="L14" i="8"/>
  <c r="K14" i="8"/>
  <c r="J14" i="8"/>
  <c r="I14" i="8"/>
  <c r="H14" i="8"/>
  <c r="G14" i="8"/>
  <c r="F14" i="8"/>
  <c r="E14" i="8"/>
  <c r="AE848" i="55"/>
  <c r="C846" i="55"/>
  <c r="I845" i="55"/>
  <c r="I846" i="55" s="1"/>
  <c r="C842" i="55"/>
  <c r="I841" i="55"/>
  <c r="I840" i="55"/>
  <c r="I839" i="55"/>
  <c r="I838" i="55"/>
  <c r="I837" i="55"/>
  <c r="I836" i="55"/>
  <c r="I835" i="55"/>
  <c r="I833" i="55"/>
  <c r="I832" i="55"/>
  <c r="I831" i="55"/>
  <c r="I830" i="55"/>
  <c r="I829" i="55"/>
  <c r="I828" i="55"/>
  <c r="I827" i="55"/>
  <c r="C823" i="55"/>
  <c r="I822" i="55"/>
  <c r="I821" i="55"/>
  <c r="C818" i="55"/>
  <c r="I817" i="55"/>
  <c r="I816" i="55"/>
  <c r="C813" i="55"/>
  <c r="I812" i="55"/>
  <c r="I811" i="55"/>
  <c r="I810" i="55"/>
  <c r="I809" i="55"/>
  <c r="I813" i="55" s="1"/>
  <c r="C806" i="55"/>
  <c r="I805" i="55"/>
  <c r="I804" i="55"/>
  <c r="I803" i="55"/>
  <c r="I802" i="55"/>
  <c r="I806" i="55" s="1"/>
  <c r="C799" i="55"/>
  <c r="I798" i="55"/>
  <c r="I797" i="55"/>
  <c r="I795" i="55"/>
  <c r="I794" i="55"/>
  <c r="I793" i="55"/>
  <c r="I792" i="55"/>
  <c r="C789" i="55"/>
  <c r="I788" i="55"/>
  <c r="I787" i="55"/>
  <c r="I789" i="55" s="1"/>
  <c r="C784" i="55"/>
  <c r="I783" i="55"/>
  <c r="I782" i="55"/>
  <c r="I784" i="55" s="1"/>
  <c r="C779" i="55"/>
  <c r="I778" i="55"/>
  <c r="I777" i="55"/>
  <c r="I776" i="55"/>
  <c r="I775" i="55"/>
  <c r="I774" i="55"/>
  <c r="I773" i="55"/>
  <c r="C770" i="55"/>
  <c r="I769" i="55"/>
  <c r="I768" i="55"/>
  <c r="I767" i="55"/>
  <c r="C762" i="55"/>
  <c r="I761" i="55"/>
  <c r="I762" i="55" s="1"/>
  <c r="C758" i="55"/>
  <c r="I757" i="55"/>
  <c r="I758" i="55" s="1"/>
  <c r="C754" i="55"/>
  <c r="I753" i="55"/>
  <c r="I754" i="55" s="1"/>
  <c r="C748" i="55"/>
  <c r="I747" i="55"/>
  <c r="I746" i="55"/>
  <c r="C743" i="55"/>
  <c r="I742" i="55"/>
  <c r="I741" i="55"/>
  <c r="C738" i="55"/>
  <c r="I737" i="55"/>
  <c r="I738" i="55" s="1"/>
  <c r="C734" i="55"/>
  <c r="I733" i="55"/>
  <c r="I732" i="55"/>
  <c r="C729" i="55"/>
  <c r="I728" i="55"/>
  <c r="I729" i="55" s="1"/>
  <c r="C725" i="55"/>
  <c r="I724" i="55"/>
  <c r="I725" i="55" s="1"/>
  <c r="C721" i="55"/>
  <c r="I720" i="55"/>
  <c r="I719" i="55"/>
  <c r="C716" i="55"/>
  <c r="I715" i="55"/>
  <c r="I714" i="55"/>
  <c r="C711" i="55"/>
  <c r="I710" i="55"/>
  <c r="I709" i="55"/>
  <c r="C706" i="55"/>
  <c r="I705" i="55"/>
  <c r="I704" i="55"/>
  <c r="C701" i="55"/>
  <c r="I700" i="55"/>
  <c r="I699" i="55"/>
  <c r="C696" i="55"/>
  <c r="I695" i="55"/>
  <c r="I694" i="55"/>
  <c r="I693" i="55"/>
  <c r="C688" i="55"/>
  <c r="I687" i="55"/>
  <c r="I688" i="55" s="1"/>
  <c r="C684" i="55"/>
  <c r="I683" i="55"/>
  <c r="I681" i="55"/>
  <c r="I680" i="55"/>
  <c r="C676" i="55"/>
  <c r="I675" i="55"/>
  <c r="I673" i="55"/>
  <c r="I672" i="55"/>
  <c r="I671" i="55"/>
  <c r="I670" i="55"/>
  <c r="I669" i="55"/>
  <c r="I668" i="55"/>
  <c r="I667" i="55"/>
  <c r="I666" i="55"/>
  <c r="I665" i="55"/>
  <c r="I664" i="55"/>
  <c r="I663" i="55"/>
  <c r="I662" i="55"/>
  <c r="C659" i="55"/>
  <c r="I658" i="55"/>
  <c r="I656" i="55"/>
  <c r="I655" i="55"/>
  <c r="I654" i="55"/>
  <c r="I653" i="55"/>
  <c r="I652" i="55"/>
  <c r="I651" i="55"/>
  <c r="C649" i="55"/>
  <c r="C647" i="55"/>
  <c r="I646" i="55"/>
  <c r="I644" i="55"/>
  <c r="I643" i="55"/>
  <c r="I642" i="55"/>
  <c r="I641" i="55"/>
  <c r="I640" i="55"/>
  <c r="I639" i="55"/>
  <c r="I638" i="55"/>
  <c r="I637" i="55"/>
  <c r="I636" i="55"/>
  <c r="I635" i="55"/>
  <c r="C634" i="55"/>
  <c r="C632" i="55"/>
  <c r="I631" i="55"/>
  <c r="I630" i="55"/>
  <c r="I629" i="55"/>
  <c r="I628" i="55"/>
  <c r="I627" i="55"/>
  <c r="I626" i="55"/>
  <c r="C623" i="55"/>
  <c r="I622" i="55"/>
  <c r="I620" i="55"/>
  <c r="I619" i="55"/>
  <c r="I618" i="55"/>
  <c r="I617" i="55"/>
  <c r="I616" i="55"/>
  <c r="I615" i="55"/>
  <c r="C612" i="55"/>
  <c r="I611" i="55"/>
  <c r="I609" i="55"/>
  <c r="I608" i="55"/>
  <c r="I607" i="55"/>
  <c r="I606" i="55"/>
  <c r="I605" i="55"/>
  <c r="I604" i="55"/>
  <c r="I603" i="55"/>
  <c r="I602" i="55"/>
  <c r="I601" i="55"/>
  <c r="I600" i="55"/>
  <c r="I599" i="55"/>
  <c r="I598" i="55"/>
  <c r="C593" i="55"/>
  <c r="E592" i="55"/>
  <c r="I592" i="55" s="1"/>
  <c r="I591" i="55"/>
  <c r="I590" i="55"/>
  <c r="I589" i="55"/>
  <c r="I588" i="55"/>
  <c r="I587" i="55"/>
  <c r="I586" i="55"/>
  <c r="I585" i="55"/>
  <c r="I584" i="55"/>
  <c r="I583" i="55"/>
  <c r="I582" i="55"/>
  <c r="I581" i="55"/>
  <c r="I580" i="55"/>
  <c r="C577" i="55"/>
  <c r="C573" i="55"/>
  <c r="C564" i="55"/>
  <c r="I563" i="55"/>
  <c r="I561" i="55"/>
  <c r="C558" i="55"/>
  <c r="I557" i="55"/>
  <c r="I558" i="55" s="1"/>
  <c r="C554" i="55"/>
  <c r="E553" i="55"/>
  <c r="I553" i="55" s="1"/>
  <c r="I552" i="55"/>
  <c r="C549" i="55"/>
  <c r="I548" i="55"/>
  <c r="I547" i="55"/>
  <c r="C544" i="55"/>
  <c r="I543" i="55"/>
  <c r="I542" i="55"/>
  <c r="I544" i="55" s="1"/>
  <c r="C539" i="55"/>
  <c r="I538" i="55"/>
  <c r="I537" i="55"/>
  <c r="I536" i="55"/>
  <c r="I535" i="55"/>
  <c r="I534" i="55"/>
  <c r="I533" i="55"/>
  <c r="I532" i="55"/>
  <c r="I531" i="55"/>
  <c r="I530" i="55"/>
  <c r="I529" i="55"/>
  <c r="C524" i="55"/>
  <c r="I523" i="55"/>
  <c r="I522" i="55"/>
  <c r="C519" i="55"/>
  <c r="I518" i="55"/>
  <c r="I519" i="55" s="1"/>
  <c r="C515" i="55"/>
  <c r="I514" i="55"/>
  <c r="I512" i="55"/>
  <c r="I511" i="55"/>
  <c r="I510" i="55"/>
  <c r="I509" i="55"/>
  <c r="I508" i="55"/>
  <c r="I507" i="55"/>
  <c r="I506" i="55"/>
  <c r="I505" i="55"/>
  <c r="I504" i="55"/>
  <c r="I503" i="55"/>
  <c r="I502" i="55"/>
  <c r="I501" i="55"/>
  <c r="C498" i="55"/>
  <c r="I497" i="55"/>
  <c r="C492" i="55"/>
  <c r="I491" i="55"/>
  <c r="I489" i="55"/>
  <c r="C486" i="55"/>
  <c r="I485" i="55"/>
  <c r="I483" i="55"/>
  <c r="C478" i="55"/>
  <c r="I477" i="55"/>
  <c r="F475" i="55"/>
  <c r="I475" i="55" s="1"/>
  <c r="I474" i="55"/>
  <c r="I473" i="55"/>
  <c r="I472" i="55"/>
  <c r="I471" i="55"/>
  <c r="I470" i="55"/>
  <c r="I469" i="55"/>
  <c r="I468" i="55"/>
  <c r="I467" i="55"/>
  <c r="I466" i="55"/>
  <c r="I465" i="55"/>
  <c r="I464" i="55"/>
  <c r="I463" i="55"/>
  <c r="I462" i="55"/>
  <c r="C459" i="55"/>
  <c r="I458" i="55"/>
  <c r="F456" i="55"/>
  <c r="I456" i="55" s="1"/>
  <c r="I455" i="55"/>
  <c r="I454" i="55"/>
  <c r="I453" i="55"/>
  <c r="I452" i="55"/>
  <c r="I451" i="55"/>
  <c r="I450" i="55"/>
  <c r="I449" i="55"/>
  <c r="I448" i="55"/>
  <c r="I447" i="55"/>
  <c r="I446" i="55"/>
  <c r="I445" i="55"/>
  <c r="I444" i="55"/>
  <c r="I443" i="55"/>
  <c r="C440" i="55"/>
  <c r="I439" i="55"/>
  <c r="I440" i="55" s="1"/>
  <c r="C434" i="55"/>
  <c r="I433" i="55"/>
  <c r="I431" i="55"/>
  <c r="C428" i="55"/>
  <c r="I427" i="55"/>
  <c r="I425" i="55"/>
  <c r="I424" i="55"/>
  <c r="I423" i="55"/>
  <c r="I422" i="55"/>
  <c r="I421" i="55"/>
  <c r="E419" i="55"/>
  <c r="I418" i="55"/>
  <c r="I417" i="55"/>
  <c r="I416" i="55"/>
  <c r="I415" i="55"/>
  <c r="I414" i="55"/>
  <c r="C410" i="55"/>
  <c r="C405" i="55"/>
  <c r="C400" i="55"/>
  <c r="I399" i="55"/>
  <c r="I396" i="55"/>
  <c r="I395" i="55"/>
  <c r="I394" i="55"/>
  <c r="I393" i="55"/>
  <c r="I392" i="55"/>
  <c r="I391" i="55"/>
  <c r="I390" i="55"/>
  <c r="I389" i="55"/>
  <c r="I388" i="55"/>
  <c r="I387" i="55"/>
  <c r="I386" i="55"/>
  <c r="I385" i="55"/>
  <c r="I384" i="55"/>
  <c r="I383" i="55"/>
  <c r="I382" i="55"/>
  <c r="E381" i="55"/>
  <c r="I381" i="55" s="1"/>
  <c r="I380" i="55"/>
  <c r="C374" i="55"/>
  <c r="I373" i="55"/>
  <c r="I371" i="55"/>
  <c r="I370" i="55"/>
  <c r="I369" i="55"/>
  <c r="I368" i="55"/>
  <c r="F366" i="55"/>
  <c r="I366" i="55" s="1"/>
  <c r="F365" i="55"/>
  <c r="I365" i="55" s="1"/>
  <c r="F364" i="55"/>
  <c r="I364" i="55" s="1"/>
  <c r="C360" i="55"/>
  <c r="I359" i="55"/>
  <c r="I357" i="55"/>
  <c r="F409" i="55" s="1"/>
  <c r="I409" i="55" s="1"/>
  <c r="I356" i="55"/>
  <c r="C353" i="55"/>
  <c r="C349" i="55"/>
  <c r="I348" i="55"/>
  <c r="I346" i="55"/>
  <c r="I345" i="55"/>
  <c r="I343" i="55"/>
  <c r="I342" i="55"/>
  <c r="I341" i="55"/>
  <c r="I340" i="55"/>
  <c r="I339" i="55"/>
  <c r="C335" i="55"/>
  <c r="I334" i="55"/>
  <c r="I332" i="55"/>
  <c r="C327" i="55"/>
  <c r="I326" i="55"/>
  <c r="I324" i="55"/>
  <c r="I323" i="55"/>
  <c r="I321" i="55"/>
  <c r="C316" i="55"/>
  <c r="I315" i="55"/>
  <c r="I313" i="55"/>
  <c r="I311" i="55"/>
  <c r="C306" i="55"/>
  <c r="I305" i="55"/>
  <c r="I303" i="55"/>
  <c r="I302" i="55"/>
  <c r="C297" i="55"/>
  <c r="I296" i="55"/>
  <c r="F294" i="55"/>
  <c r="I294" i="55" s="1"/>
  <c r="F293" i="55"/>
  <c r="I293" i="55" s="1"/>
  <c r="F292" i="55"/>
  <c r="I292" i="55" s="1"/>
  <c r="I291" i="55"/>
  <c r="F290" i="55"/>
  <c r="I290" i="55" s="1"/>
  <c r="I289" i="55"/>
  <c r="I288" i="55"/>
  <c r="I287" i="55"/>
  <c r="F286" i="55"/>
  <c r="I286" i="55" s="1"/>
  <c r="I285" i="55"/>
  <c r="I284" i="55"/>
  <c r="I283" i="55"/>
  <c r="I282" i="55"/>
  <c r="F281" i="55"/>
  <c r="I281" i="55" s="1"/>
  <c r="I280" i="55"/>
  <c r="I279" i="55"/>
  <c r="F278" i="55"/>
  <c r="I278" i="55" s="1"/>
  <c r="F277" i="55"/>
  <c r="I277" i="55" s="1"/>
  <c r="I276" i="55"/>
  <c r="F275" i="55"/>
  <c r="I275" i="55" s="1"/>
  <c r="I274" i="55"/>
  <c r="F273" i="55"/>
  <c r="I273" i="55" s="1"/>
  <c r="I272" i="55"/>
  <c r="F271" i="55"/>
  <c r="I271" i="55" s="1"/>
  <c r="F270" i="55"/>
  <c r="I270" i="55" s="1"/>
  <c r="F269" i="55"/>
  <c r="I269" i="55" s="1"/>
  <c r="F268" i="55"/>
  <c r="I268" i="55" s="1"/>
  <c r="F267" i="55"/>
  <c r="I267" i="55" s="1"/>
  <c r="F266" i="55"/>
  <c r="I266" i="55" s="1"/>
  <c r="I265" i="55"/>
  <c r="F264" i="55"/>
  <c r="I264" i="55" s="1"/>
  <c r="I263" i="55"/>
  <c r="I262" i="55"/>
  <c r="I261" i="55"/>
  <c r="F260" i="55"/>
  <c r="I260" i="55" s="1"/>
  <c r="I259" i="55"/>
  <c r="I258" i="55"/>
  <c r="I257" i="55"/>
  <c r="I256" i="55"/>
  <c r="F255" i="55"/>
  <c r="I255" i="55" s="1"/>
  <c r="I254" i="55"/>
  <c r="I253" i="55"/>
  <c r="F252" i="55"/>
  <c r="I252" i="55" s="1"/>
  <c r="F251" i="55"/>
  <c r="I251" i="55" s="1"/>
  <c r="I250" i="55"/>
  <c r="F249" i="55"/>
  <c r="I249" i="55" s="1"/>
  <c r="I248" i="55"/>
  <c r="F247" i="55"/>
  <c r="I247" i="55" s="1"/>
  <c r="I246" i="55"/>
  <c r="F245" i="55"/>
  <c r="I245" i="55" s="1"/>
  <c r="F244" i="55"/>
  <c r="I244" i="55" s="1"/>
  <c r="F243" i="55"/>
  <c r="I243" i="55" s="1"/>
  <c r="F242" i="55"/>
  <c r="I242" i="55" s="1"/>
  <c r="F241" i="55"/>
  <c r="I241" i="55" s="1"/>
  <c r="F240" i="55"/>
  <c r="I240" i="55" s="1"/>
  <c r="F239" i="55"/>
  <c r="I239" i="55" s="1"/>
  <c r="F238" i="55"/>
  <c r="I238" i="55" s="1"/>
  <c r="F237" i="55"/>
  <c r="I237" i="55" s="1"/>
  <c r="F236" i="55"/>
  <c r="I236" i="55" s="1"/>
  <c r="C232" i="55"/>
  <c r="I231" i="55"/>
  <c r="I229" i="55"/>
  <c r="I228" i="55"/>
  <c r="I227" i="55"/>
  <c r="I226" i="55"/>
  <c r="I225" i="55"/>
  <c r="C219" i="55"/>
  <c r="C215" i="55"/>
  <c r="I214" i="55"/>
  <c r="I212" i="55"/>
  <c r="F211" i="55"/>
  <c r="I211" i="55" s="1"/>
  <c r="C207" i="55"/>
  <c r="I206" i="55"/>
  <c r="I204" i="55"/>
  <c r="C199" i="55"/>
  <c r="I198" i="55"/>
  <c r="I196" i="55"/>
  <c r="I194" i="55"/>
  <c r="C189" i="55"/>
  <c r="I188" i="55"/>
  <c r="I186" i="55"/>
  <c r="I185" i="55"/>
  <c r="I184" i="55"/>
  <c r="I183" i="55"/>
  <c r="I182" i="55"/>
  <c r="I181" i="55"/>
  <c r="I180" i="55"/>
  <c r="I179" i="55"/>
  <c r="I178" i="55"/>
  <c r="I177" i="55"/>
  <c r="I176" i="55"/>
  <c r="I175" i="55"/>
  <c r="I174" i="55"/>
  <c r="I173" i="55"/>
  <c r="I172" i="55"/>
  <c r="I171" i="55"/>
  <c r="I170" i="55"/>
  <c r="I169" i="55"/>
  <c r="I168" i="55"/>
  <c r="I167" i="55"/>
  <c r="I166" i="55"/>
  <c r="I165" i="55"/>
  <c r="I164" i="55"/>
  <c r="I163" i="55"/>
  <c r="I162" i="55"/>
  <c r="I161" i="55"/>
  <c r="I160" i="55"/>
  <c r="I159" i="55"/>
  <c r="F158" i="55"/>
  <c r="I158" i="55" s="1"/>
  <c r="F157" i="55"/>
  <c r="I157" i="55" s="1"/>
  <c r="C153" i="55"/>
  <c r="I152" i="55"/>
  <c r="I150" i="55"/>
  <c r="I149" i="55"/>
  <c r="I148" i="55"/>
  <c r="C143" i="55"/>
  <c r="I142" i="55"/>
  <c r="I140" i="55"/>
  <c r="I139" i="55"/>
  <c r="I138" i="55"/>
  <c r="I137" i="55"/>
  <c r="I136" i="55"/>
  <c r="I135" i="55"/>
  <c r="I134" i="55"/>
  <c r="I133" i="55"/>
  <c r="I132" i="55"/>
  <c r="I131" i="55"/>
  <c r="I130" i="55"/>
  <c r="I129" i="55"/>
  <c r="I128" i="55"/>
  <c r="I127" i="55"/>
  <c r="I126" i="55"/>
  <c r="I125" i="55"/>
  <c r="I124" i="55"/>
  <c r="I123" i="55"/>
  <c r="I122" i="55"/>
  <c r="I121" i="55"/>
  <c r="I120" i="55"/>
  <c r="I119" i="55"/>
  <c r="I118" i="55"/>
  <c r="I117" i="55"/>
  <c r="I116" i="55"/>
  <c r="I115" i="55"/>
  <c r="I114" i="55"/>
  <c r="I113" i="55"/>
  <c r="F112" i="55"/>
  <c r="I112" i="55" s="1"/>
  <c r="F111" i="55"/>
  <c r="I111" i="55" s="1"/>
  <c r="I109" i="55"/>
  <c r="I108" i="55"/>
  <c r="I107" i="55"/>
  <c r="C101" i="55"/>
  <c r="I100" i="55"/>
  <c r="C93" i="55"/>
  <c r="I92" i="55"/>
  <c r="I90" i="55"/>
  <c r="C86" i="55"/>
  <c r="I85" i="55"/>
  <c r="I83" i="55"/>
  <c r="I82" i="55"/>
  <c r="I81" i="55"/>
  <c r="I80" i="55"/>
  <c r="I79" i="55"/>
  <c r="I78" i="55"/>
  <c r="I77" i="55"/>
  <c r="I76" i="55"/>
  <c r="I75" i="55"/>
  <c r="I74" i="55"/>
  <c r="I73" i="55"/>
  <c r="I72" i="55"/>
  <c r="I71" i="55"/>
  <c r="I70" i="55"/>
  <c r="I69" i="55"/>
  <c r="I68" i="55"/>
  <c r="I67" i="55"/>
  <c r="I66" i="55"/>
  <c r="I65" i="55"/>
  <c r="I64" i="55"/>
  <c r="I63" i="55"/>
  <c r="I62" i="55"/>
  <c r="I61" i="55"/>
  <c r="I60" i="55"/>
  <c r="I59" i="55"/>
  <c r="I58" i="55"/>
  <c r="I57" i="55"/>
  <c r="I56" i="55"/>
  <c r="F55" i="55"/>
  <c r="I55" i="55" s="1"/>
  <c r="F54" i="55"/>
  <c r="I54" i="55" s="1"/>
  <c r="I52" i="55"/>
  <c r="I51" i="55"/>
  <c r="I50" i="55"/>
  <c r="C44" i="55"/>
  <c r="I43" i="55"/>
  <c r="I44" i="55" s="1"/>
  <c r="C38" i="55"/>
  <c r="I37" i="55"/>
  <c r="I36" i="55"/>
  <c r="I35" i="55"/>
  <c r="I34" i="55"/>
  <c r="C30" i="55"/>
  <c r="I29" i="55"/>
  <c r="I28" i="55"/>
  <c r="I27" i="55"/>
  <c r="I26" i="55"/>
  <c r="I25" i="55"/>
  <c r="C22" i="55"/>
  <c r="I21" i="55"/>
  <c r="I20" i="55"/>
  <c r="C17" i="55"/>
  <c r="I16" i="55"/>
  <c r="I17" i="55" s="1"/>
  <c r="AE109" i="54"/>
  <c r="H107" i="54"/>
  <c r="G106" i="54"/>
  <c r="H106" i="54" s="1"/>
  <c r="H105" i="54"/>
  <c r="H104" i="54"/>
  <c r="G103" i="54"/>
  <c r="H103" i="54" s="1"/>
  <c r="H102" i="54"/>
  <c r="G101" i="54"/>
  <c r="H101" i="54" s="1"/>
  <c r="H100" i="54"/>
  <c r="G99" i="54"/>
  <c r="H99" i="54" s="1"/>
  <c r="H98" i="54"/>
  <c r="H97" i="54"/>
  <c r="H95" i="54"/>
  <c r="H94" i="54"/>
  <c r="H93" i="54"/>
  <c r="H91" i="54"/>
  <c r="H90" i="54"/>
  <c r="H89" i="54"/>
  <c r="H88" i="54"/>
  <c r="H87" i="54"/>
  <c r="H86" i="54"/>
  <c r="H85" i="54"/>
  <c r="H84" i="54"/>
  <c r="H83" i="54"/>
  <c r="H82" i="54"/>
  <c r="H81" i="54"/>
  <c r="H80" i="54"/>
  <c r="H78" i="54"/>
  <c r="H77" i="54"/>
  <c r="H76" i="54"/>
  <c r="G75" i="54"/>
  <c r="H75" i="54" s="1"/>
  <c r="D75" i="54"/>
  <c r="G74" i="54"/>
  <c r="H74" i="54" s="1"/>
  <c r="D74" i="54"/>
  <c r="G73" i="54"/>
  <c r="H73" i="54" s="1"/>
  <c r="G71" i="54"/>
  <c r="H71" i="54" s="1"/>
  <c r="H69" i="54"/>
  <c r="H68" i="54"/>
  <c r="H67" i="54"/>
  <c r="H65" i="54"/>
  <c r="H64" i="54"/>
  <c r="H63" i="54"/>
  <c r="H62" i="54"/>
  <c r="H61" i="54"/>
  <c r="H60" i="54"/>
  <c r="H58" i="54"/>
  <c r="H57" i="54"/>
  <c r="H56" i="54"/>
  <c r="H55" i="54"/>
  <c r="H54" i="54"/>
  <c r="H53" i="54"/>
  <c r="H51" i="54"/>
  <c r="H50" i="54"/>
  <c r="H49" i="54"/>
  <c r="H47" i="54"/>
  <c r="H46" i="54"/>
  <c r="H45" i="54"/>
  <c r="H44" i="54"/>
  <c r="H43" i="54"/>
  <c r="H41" i="54"/>
  <c r="H40" i="54"/>
  <c r="H39" i="54"/>
  <c r="H38" i="54"/>
  <c r="H37" i="54"/>
  <c r="H36" i="54"/>
  <c r="H35" i="54"/>
  <c r="H34" i="54"/>
  <c r="H33" i="54"/>
  <c r="H32" i="54"/>
  <c r="H30" i="54"/>
  <c r="H29" i="54"/>
  <c r="H28" i="54"/>
  <c r="H27" i="54"/>
  <c r="H26" i="54"/>
  <c r="H25" i="54"/>
  <c r="H24" i="54"/>
  <c r="H22" i="54"/>
  <c r="H21" i="54"/>
  <c r="H20" i="54"/>
  <c r="G18" i="54"/>
  <c r="H18" i="54" s="1"/>
  <c r="H16" i="54"/>
  <c r="H15" i="54"/>
  <c r="H14" i="54"/>
  <c r="H13" i="54"/>
  <c r="E18" i="41"/>
  <c r="E19" i="41"/>
  <c r="I524" i="55" l="1"/>
  <c r="I434" i="55"/>
  <c r="I564" i="55"/>
  <c r="I748" i="55"/>
  <c r="I459" i="55"/>
  <c r="I486" i="55"/>
  <c r="F495" i="55" s="1"/>
  <c r="I495" i="55" s="1"/>
  <c r="I498" i="55" s="1"/>
  <c r="I22" i="55"/>
  <c r="I492" i="55"/>
  <c r="I716" i="55"/>
  <c r="I701" i="55"/>
  <c r="I823" i="55"/>
  <c r="I327" i="55"/>
  <c r="I349" i="55"/>
  <c r="F352" i="55" s="1"/>
  <c r="I352" i="55" s="1"/>
  <c r="I353" i="55" s="1"/>
  <c r="I549" i="55"/>
  <c r="I632" i="55"/>
  <c r="I93" i="55"/>
  <c r="I659" i="55"/>
  <c r="I721" i="55"/>
  <c r="I297" i="55"/>
  <c r="F397" i="55"/>
  <c r="I397" i="55" s="1"/>
  <c r="I400" i="55" s="1"/>
  <c r="I153" i="55"/>
  <c r="I207" i="55"/>
  <c r="I306" i="55"/>
  <c r="I316" i="55"/>
  <c r="I515" i="55"/>
  <c r="I554" i="55"/>
  <c r="I593" i="55"/>
  <c r="I623" i="55"/>
  <c r="I696" i="55"/>
  <c r="I770" i="55"/>
  <c r="I818" i="55"/>
  <c r="I215" i="55"/>
  <c r="F218" i="55" s="1"/>
  <c r="I218" i="55" s="1"/>
  <c r="I219" i="55" s="1"/>
  <c r="I478" i="55"/>
  <c r="I612" i="55"/>
  <c r="I684" i="55"/>
  <c r="I799" i="55"/>
  <c r="I143" i="55"/>
  <c r="F97" i="55" s="1"/>
  <c r="I97" i="55" s="1"/>
  <c r="I30" i="55"/>
  <c r="I38" i="55"/>
  <c r="I86" i="55"/>
  <c r="F96" i="55" s="1"/>
  <c r="I96" i="55" s="1"/>
  <c r="I199" i="55"/>
  <c r="I232" i="55"/>
  <c r="I335" i="55"/>
  <c r="I647" i="55"/>
  <c r="I706" i="55"/>
  <c r="I734" i="55"/>
  <c r="E420" i="55"/>
  <c r="I420" i="55" s="1"/>
  <c r="I419" i="55"/>
  <c r="I189" i="55"/>
  <c r="XEV823" i="55"/>
  <c r="I374" i="55"/>
  <c r="I360" i="55"/>
  <c r="I842" i="55"/>
  <c r="I539" i="55"/>
  <c r="I711" i="55"/>
  <c r="I779" i="55"/>
  <c r="I676" i="55"/>
  <c r="I743" i="55"/>
  <c r="I93" i="54"/>
  <c r="I102" i="54"/>
  <c r="I90" i="54"/>
  <c r="I95" i="54"/>
  <c r="I49" i="54"/>
  <c r="I64" i="54"/>
  <c r="I65" i="54"/>
  <c r="I105" i="54"/>
  <c r="I99" i="54"/>
  <c r="I84" i="54"/>
  <c r="I101" i="54"/>
  <c r="I86" i="54"/>
  <c r="I89" i="54"/>
  <c r="I94" i="54"/>
  <c r="I32" i="54"/>
  <c r="I57" i="54"/>
  <c r="I76" i="54"/>
  <c r="I28" i="54"/>
  <c r="I77" i="54"/>
  <c r="I91" i="54"/>
  <c r="I100" i="54"/>
  <c r="I106" i="54"/>
  <c r="I14" i="54"/>
  <c r="I37" i="54"/>
  <c r="I62" i="54"/>
  <c r="I74" i="54"/>
  <c r="I88" i="54"/>
  <c r="I27" i="54"/>
  <c r="I51" i="54"/>
  <c r="I82" i="54"/>
  <c r="I21" i="54"/>
  <c r="I25" i="54"/>
  <c r="I26" i="54"/>
  <c r="I50" i="54"/>
  <c r="I85" i="54"/>
  <c r="I87" i="54"/>
  <c r="I13" i="54"/>
  <c r="I18" i="54"/>
  <c r="I17" i="54" s="1"/>
  <c r="I54" i="54"/>
  <c r="I71" i="54"/>
  <c r="I81" i="54"/>
  <c r="I103" i="54"/>
  <c r="I107" i="54"/>
  <c r="I63" i="54"/>
  <c r="I78" i="54"/>
  <c r="I104" i="54"/>
  <c r="I428" i="55" l="1"/>
  <c r="F572" i="55" s="1"/>
  <c r="I572" i="55" s="1"/>
  <c r="F408" i="55"/>
  <c r="I408" i="55" s="1"/>
  <c r="I410" i="55" s="1"/>
  <c r="F570" i="55" s="1"/>
  <c r="I570" i="55" s="1"/>
  <c r="F403" i="55"/>
  <c r="I403" i="55" s="1"/>
  <c r="F571" i="55"/>
  <c r="I571" i="55" s="1"/>
  <c r="F98" i="55"/>
  <c r="I98" i="55" s="1"/>
  <c r="I101" i="55" s="1"/>
  <c r="F404" i="55"/>
  <c r="I404" i="55" s="1"/>
  <c r="I405" i="55" s="1"/>
  <c r="I92" i="54"/>
  <c r="I69" i="54"/>
  <c r="I36" i="54"/>
  <c r="I35" i="54"/>
  <c r="I41" i="54"/>
  <c r="I15" i="54"/>
  <c r="I75" i="54"/>
  <c r="I34" i="54"/>
  <c r="I97" i="54"/>
  <c r="I48" i="54"/>
  <c r="I83" i="54"/>
  <c r="I39" i="54"/>
  <c r="I16" i="54"/>
  <c r="I80" i="54"/>
  <c r="I58" i="54"/>
  <c r="I73" i="54"/>
  <c r="I60" i="54"/>
  <c r="I61" i="54"/>
  <c r="I47" i="54"/>
  <c r="I29" i="54"/>
  <c r="I20" i="54"/>
  <c r="I98" i="54"/>
  <c r="I96" i="54" s="1"/>
  <c r="I40" i="54"/>
  <c r="I33" i="54"/>
  <c r="I38" i="54"/>
  <c r="I573" i="55" l="1"/>
  <c r="F576" i="55" s="1"/>
  <c r="I576" i="55" s="1"/>
  <c r="I577" i="55" s="1"/>
  <c r="I59" i="54"/>
  <c r="I12" i="54"/>
  <c r="I31" i="54"/>
  <c r="I79" i="54"/>
  <c r="I22" i="54"/>
  <c r="I19" i="54" s="1"/>
  <c r="I30" i="54"/>
  <c r="I56" i="54"/>
  <c r="I43" i="54"/>
  <c r="I46" i="54"/>
  <c r="I44" i="54"/>
  <c r="I55" i="54"/>
  <c r="I24" i="54"/>
  <c r="I53" i="54"/>
  <c r="I23" i="54" l="1"/>
  <c r="I52" i="54"/>
  <c r="I45" i="54"/>
  <c r="I42" i="54" s="1"/>
  <c r="I67" i="54" l="1"/>
  <c r="I68" i="54"/>
  <c r="I66" i="54" l="1"/>
  <c r="B49" i="8" l="1"/>
  <c r="B46" i="8"/>
  <c r="B43" i="8"/>
  <c r="B40" i="8"/>
  <c r="B37" i="8"/>
  <c r="B34" i="8"/>
  <c r="B31" i="8"/>
  <c r="B28" i="8"/>
  <c r="B25" i="8"/>
  <c r="B22" i="8"/>
  <c r="B19" i="8"/>
  <c r="B16" i="8"/>
  <c r="B13" i="8"/>
  <c r="B10" i="8"/>
  <c r="I66" i="41"/>
  <c r="G66" i="41"/>
  <c r="I67" i="41"/>
  <c r="G67" i="41"/>
  <c r="I85" i="41"/>
  <c r="G85" i="41"/>
  <c r="I84" i="41"/>
  <c r="G84" i="41"/>
  <c r="I83" i="41"/>
  <c r="G83" i="41"/>
  <c r="I82" i="41"/>
  <c r="G82" i="41"/>
  <c r="I81" i="41"/>
  <c r="G81" i="41"/>
  <c r="I80" i="41"/>
  <c r="G80" i="41"/>
  <c r="I191" i="41"/>
  <c r="G191" i="41"/>
  <c r="I190" i="41"/>
  <c r="G190" i="41"/>
  <c r="I189" i="41"/>
  <c r="G189" i="41"/>
  <c r="I188" i="41"/>
  <c r="G188" i="41"/>
  <c r="I176" i="41"/>
  <c r="G176" i="41"/>
  <c r="I175" i="41"/>
  <c r="G175" i="41"/>
  <c r="I174" i="41"/>
  <c r="G174" i="41"/>
  <c r="I173" i="41"/>
  <c r="G173" i="41"/>
  <c r="G192" i="41" l="1"/>
  <c r="F184" i="41" s="1"/>
  <c r="I192" i="41"/>
  <c r="H184" i="41" s="1"/>
  <c r="G177" i="41"/>
  <c r="F169" i="41" s="1"/>
  <c r="I177" i="41"/>
  <c r="H169" i="41" s="1"/>
  <c r="I138" i="41" l="1"/>
  <c r="I139" i="41"/>
  <c r="I140" i="41"/>
  <c r="I141" i="41"/>
  <c r="I142" i="41"/>
  <c r="I143" i="41"/>
  <c r="I144" i="41"/>
  <c r="I145" i="41"/>
  <c r="I146" i="41"/>
  <c r="I147" i="41"/>
  <c r="I148" i="41"/>
  <c r="I149" i="41"/>
  <c r="I150" i="41"/>
  <c r="I151" i="41"/>
  <c r="I152" i="41"/>
  <c r="I153" i="41"/>
  <c r="I154" i="41"/>
  <c r="I155" i="41"/>
  <c r="I156" i="41"/>
  <c r="I157" i="41"/>
  <c r="I158" i="41"/>
  <c r="I159" i="41"/>
  <c r="I160" i="41"/>
  <c r="I161" i="41"/>
  <c r="I137" i="41"/>
  <c r="G138" i="41"/>
  <c r="G139" i="41"/>
  <c r="G140" i="41"/>
  <c r="G141" i="41"/>
  <c r="G142" i="41"/>
  <c r="G143" i="41"/>
  <c r="G144" i="41"/>
  <c r="G145" i="41"/>
  <c r="G146" i="41"/>
  <c r="G147" i="41"/>
  <c r="G148" i="41"/>
  <c r="G149" i="41"/>
  <c r="G150" i="41"/>
  <c r="G151" i="41"/>
  <c r="G152" i="41"/>
  <c r="G153" i="41"/>
  <c r="G154" i="41"/>
  <c r="G155" i="41"/>
  <c r="G156" i="41"/>
  <c r="G157" i="41"/>
  <c r="G158" i="41"/>
  <c r="G159" i="41"/>
  <c r="G160" i="41"/>
  <c r="G161" i="41"/>
  <c r="G137" i="41"/>
  <c r="I162" i="41" l="1"/>
  <c r="H133" i="41" s="1"/>
  <c r="G162" i="41"/>
  <c r="F133" i="41" s="1"/>
  <c r="I124" i="41" l="1"/>
  <c r="G124" i="41"/>
  <c r="I123" i="41"/>
  <c r="G123" i="41"/>
  <c r="I122" i="41"/>
  <c r="G122" i="41"/>
  <c r="I121" i="41"/>
  <c r="G121" i="41"/>
  <c r="I120" i="41"/>
  <c r="G120" i="41"/>
  <c r="I119" i="41"/>
  <c r="G119" i="41"/>
  <c r="I118" i="41"/>
  <c r="G118" i="41"/>
  <c r="I117" i="41"/>
  <c r="G117" i="41"/>
  <c r="G104" i="41"/>
  <c r="I104" i="41"/>
  <c r="G105" i="41"/>
  <c r="I105" i="41"/>
  <c r="I103" i="41"/>
  <c r="G103" i="41"/>
  <c r="I102" i="41"/>
  <c r="G102" i="41"/>
  <c r="I101" i="41"/>
  <c r="G101" i="41"/>
  <c r="I100" i="41"/>
  <c r="G100" i="41"/>
  <c r="I99" i="41"/>
  <c r="G99" i="41"/>
  <c r="I98" i="41"/>
  <c r="G98" i="41"/>
  <c r="G125" i="41" l="1"/>
  <c r="F113" i="41" s="1"/>
  <c r="I125" i="41"/>
  <c r="H113" i="41" s="1"/>
  <c r="I106" i="41"/>
  <c r="H94" i="41" s="1"/>
  <c r="G106" i="41"/>
  <c r="F94" i="41" s="1"/>
  <c r="J20" i="41" l="1"/>
  <c r="J18" i="41"/>
  <c r="K18" i="41" s="1"/>
  <c r="G18" i="41" l="1"/>
  <c r="G19" i="41"/>
  <c r="C28" i="8" l="1"/>
  <c r="K28" i="8" l="1"/>
  <c r="J28" i="8"/>
  <c r="G68" i="41" l="1"/>
  <c r="I68" i="41"/>
  <c r="G86" i="41"/>
  <c r="I69" i="41" l="1"/>
  <c r="G69" i="41"/>
  <c r="I19" i="41"/>
  <c r="I18" i="41"/>
  <c r="H62" i="41" l="1"/>
  <c r="F62" i="41"/>
  <c r="H44" i="41"/>
  <c r="F44" i="41"/>
  <c r="G20" i="41"/>
  <c r="I20" i="41"/>
  <c r="H14" i="41" l="1"/>
  <c r="F14" i="41"/>
  <c r="I86" i="41" l="1"/>
  <c r="I87" i="41" l="1"/>
  <c r="G72" i="54" s="1"/>
  <c r="H72" i="54" s="1"/>
  <c r="I72" i="54" s="1"/>
  <c r="I70" i="54" s="1"/>
  <c r="G87" i="41"/>
  <c r="K106" i="54" l="1"/>
  <c r="I108" i="54"/>
  <c r="I111" i="54"/>
  <c r="F76" i="41"/>
  <c r="H76" i="41"/>
  <c r="K108" i="54" l="1"/>
  <c r="I113" i="54"/>
  <c r="L525" i="41"/>
  <c r="I35" i="41"/>
  <c r="G35" i="41"/>
  <c r="I34" i="41"/>
  <c r="G34" i="41"/>
  <c r="I33" i="41"/>
  <c r="G33" i="41"/>
  <c r="I32" i="41"/>
  <c r="G32" i="41"/>
  <c r="I36" i="41" l="1"/>
  <c r="G36" i="41"/>
  <c r="H28" i="41" l="1"/>
  <c r="C49" i="8" s="1"/>
  <c r="M49" i="8" s="1"/>
  <c r="F28" i="41"/>
  <c r="O49" i="8" l="1"/>
  <c r="C13" i="8" l="1"/>
  <c r="M13" i="8" s="1"/>
  <c r="G13" i="8" l="1"/>
  <c r="F13" i="8"/>
  <c r="E13" i="8"/>
  <c r="K13" i="8"/>
  <c r="L13" i="8"/>
  <c r="I13" i="8"/>
  <c r="H13" i="8"/>
  <c r="J13" i="8"/>
  <c r="C43" i="8"/>
  <c r="L43" i="8" s="1"/>
  <c r="K43" i="8" l="1"/>
  <c r="O43" i="8" l="1"/>
  <c r="C22" i="8" l="1"/>
  <c r="E22" i="8" l="1"/>
  <c r="G22" i="8"/>
  <c r="G55" i="8" s="1"/>
  <c r="H22" i="8"/>
  <c r="F22" i="8"/>
  <c r="C34" i="8"/>
  <c r="M34" i="8" s="1"/>
  <c r="L34" i="8" l="1"/>
  <c r="E21" i="22" l="1"/>
  <c r="D24" i="22"/>
  <c r="D28" i="22" s="1"/>
  <c r="C25" i="8" l="1"/>
  <c r="J25" i="8" l="1"/>
  <c r="J55" i="8" s="1"/>
  <c r="H25" i="8"/>
  <c r="H55" i="8" s="1"/>
  <c r="I25" i="8"/>
  <c r="I55" i="8" s="1"/>
  <c r="C19" i="8"/>
  <c r="E19" i="8" l="1"/>
  <c r="E55" i="8" s="1"/>
  <c r="F55" i="8"/>
  <c r="D19" i="8"/>
  <c r="C46" i="8" l="1"/>
  <c r="C31" i="8"/>
  <c r="K31" i="8" s="1"/>
  <c r="C40" i="8"/>
  <c r="L40" i="8" s="1"/>
  <c r="M46" i="8" l="1"/>
  <c r="O46" i="8" s="1"/>
  <c r="K40" i="8"/>
  <c r="L31" i="8"/>
  <c r="L55" i="8" s="1"/>
  <c r="K55" i="8" l="1"/>
  <c r="O40" i="8"/>
  <c r="O31" i="8" l="1"/>
  <c r="C10" i="8" l="1"/>
  <c r="C37" i="8"/>
  <c r="M37" i="8" s="1"/>
  <c r="M55" i="8" s="1"/>
  <c r="O34" i="8"/>
  <c r="O37" i="8" l="1"/>
  <c r="O28" i="8" l="1"/>
  <c r="O22" i="8" l="1"/>
  <c r="O25" i="8" l="1"/>
  <c r="C16" i="8" l="1"/>
  <c r="C52" i="8" l="1"/>
  <c r="D16" i="8"/>
  <c r="O16" i="8" s="1"/>
  <c r="O61" i="8" l="1"/>
  <c r="P63" i="8" s="1"/>
  <c r="I56" i="8"/>
  <c r="G56" i="8"/>
  <c r="H56" i="8"/>
  <c r="C44" i="8"/>
  <c r="C63" i="8"/>
  <c r="M56" i="8"/>
  <c r="C47" i="8"/>
  <c r="L56" i="8"/>
  <c r="C50" i="8"/>
  <c r="E56" i="8"/>
  <c r="J56" i="8"/>
  <c r="F56" i="8"/>
  <c r="O19" i="8"/>
  <c r="D10" i="8" l="1"/>
  <c r="O10" i="8" l="1"/>
  <c r="D13" i="8" l="1"/>
  <c r="C38" i="8"/>
  <c r="D55" i="8" l="1"/>
  <c r="D58" i="8" s="1"/>
  <c r="E58" i="8" s="1"/>
  <c r="C14" i="8"/>
  <c r="C41" i="8"/>
  <c r="O13" i="8"/>
  <c r="C26" i="8"/>
  <c r="C32" i="8"/>
  <c r="C29" i="8"/>
  <c r="C53" i="8"/>
  <c r="C23" i="8"/>
  <c r="C11" i="8"/>
  <c r="C20" i="8"/>
  <c r="C35" i="8"/>
  <c r="K56" i="8"/>
  <c r="C17" i="8"/>
  <c r="F58" i="8" l="1"/>
  <c r="G58" i="8" s="1"/>
  <c r="H58" i="8" s="1"/>
  <c r="I58" i="8" s="1"/>
  <c r="J58" i="8" s="1"/>
  <c r="K58" i="8" s="1"/>
  <c r="L58" i="8" s="1"/>
  <c r="M58" i="8" s="1"/>
  <c r="E59" i="8"/>
  <c r="D61" i="8"/>
  <c r="P61" i="8" s="1"/>
  <c r="D56" i="8"/>
  <c r="F59" i="8" l="1"/>
  <c r="G59" i="8"/>
  <c r="D59" i="8"/>
  <c r="H59" i="8" l="1"/>
  <c r="L59" i="8" l="1"/>
  <c r="M59" i="8"/>
  <c r="I59" i="8"/>
  <c r="J59" i="8" l="1"/>
  <c r="K59" i="8" l="1"/>
</calcChain>
</file>

<file path=xl/sharedStrings.xml><?xml version="1.0" encoding="utf-8"?>
<sst xmlns="http://schemas.openxmlformats.org/spreadsheetml/2006/main" count="2372" uniqueCount="927">
  <si>
    <t>PROJETO</t>
  </si>
  <si>
    <t>ITEM</t>
  </si>
  <si>
    <t>DESCRIÇÃO</t>
  </si>
  <si>
    <t>UN.</t>
  </si>
  <si>
    <t>TAXA</t>
  </si>
  <si>
    <t>COMP</t>
  </si>
  <si>
    <t>LARG</t>
  </si>
  <si>
    <t>TOTAL</t>
  </si>
  <si>
    <t>SERVIÇOS PRELIMINARES</t>
  </si>
  <si>
    <t>2.1</t>
  </si>
  <si>
    <t>3.1</t>
  </si>
  <si>
    <t>3.2</t>
  </si>
  <si>
    <t>m</t>
  </si>
  <si>
    <t>4.1</t>
  </si>
  <si>
    <t>4.2</t>
  </si>
  <si>
    <t>5.1</t>
  </si>
  <si>
    <t>5.3</t>
  </si>
  <si>
    <t>5.4</t>
  </si>
  <si>
    <t>CÓDIGO</t>
  </si>
  <si>
    <t>PLANILHA ORÇAMENTÁRIA</t>
  </si>
  <si>
    <t>6.1</t>
  </si>
  <si>
    <t>6.2</t>
  </si>
  <si>
    <t>6.3</t>
  </si>
  <si>
    <t>TOTAL GERAL</t>
  </si>
  <si>
    <t>CRONOGRAMA FÍSICO FINANCEIRO</t>
  </si>
  <si>
    <t>ETAPA</t>
  </si>
  <si>
    <t>SERVIÇO</t>
  </si>
  <si>
    <t>MÊS/ DESEMBOLSO</t>
  </si>
  <si>
    <t>TOTAL ETAPA (R$)</t>
  </si>
  <si>
    <t>7.1</t>
  </si>
  <si>
    <t>7.2</t>
  </si>
  <si>
    <t>8.1</t>
  </si>
  <si>
    <t>9.1</t>
  </si>
  <si>
    <t>10.1</t>
  </si>
  <si>
    <t>10.3</t>
  </si>
  <si>
    <t>11.1</t>
  </si>
  <si>
    <t>11.2</t>
  </si>
  <si>
    <t>12.1</t>
  </si>
  <si>
    <t>12.3</t>
  </si>
  <si>
    <t>TRABALHOS EM TERRA</t>
  </si>
  <si>
    <t>ESTRUTURA</t>
  </si>
  <si>
    <t>COBERTA</t>
  </si>
  <si>
    <t>PAREDES E REVESTIMENTOS</t>
  </si>
  <si>
    <t>PISOS</t>
  </si>
  <si>
    <t>ESQUADRIAS</t>
  </si>
  <si>
    <t>PINTURA</t>
  </si>
  <si>
    <t>INSTALAÇÕES ELÉTRICAS</t>
  </si>
  <si>
    <t>DIVERSOS</t>
  </si>
  <si>
    <t>un</t>
  </si>
  <si>
    <t>INSTALAÇÕES HIDROSSANITÁRIAS</t>
  </si>
  <si>
    <t>INFRAESTRUTURA</t>
  </si>
  <si>
    <t>MEMÓRIA DE CÁLCULO EXPLICATIVO</t>
  </si>
  <si>
    <t>TOTAL (R$):</t>
  </si>
  <si>
    <t>1º MÊS</t>
  </si>
  <si>
    <t>2º MÊS</t>
  </si>
  <si>
    <t>3º MÊS</t>
  </si>
  <si>
    <t>MEDIA/MÊS</t>
  </si>
  <si>
    <t>QUANT.</t>
  </si>
  <si>
    <t>TOTAIS PARCIAIS</t>
  </si>
  <si>
    <t>SINAPI</t>
  </si>
  <si>
    <t>FONTE</t>
  </si>
  <si>
    <t>COMPOSIÇÃO DE BDI PARA SERVIÇOS GERAIS DE EDIFICAÇÕES</t>
  </si>
  <si>
    <t xml:space="preserve">DESCRIÇÃO </t>
  </si>
  <si>
    <t>SIGLA</t>
  </si>
  <si>
    <t>VALOR (*)</t>
  </si>
  <si>
    <t>FAIXA REFERENCIAL - Ref. Acórdão 2622/2013</t>
  </si>
  <si>
    <t xml:space="preserve">Taxa de rateio da Administração Central </t>
  </si>
  <si>
    <t>AC</t>
  </si>
  <si>
    <t xml:space="preserve">Taxa de Despesas Financeiras </t>
  </si>
  <si>
    <t>DF</t>
  </si>
  <si>
    <t>Taxa de Risco</t>
  </si>
  <si>
    <t>R</t>
  </si>
  <si>
    <t>COFINS</t>
  </si>
  <si>
    <t>ISS (**)</t>
  </si>
  <si>
    <t>ISS</t>
  </si>
  <si>
    <t>PIS</t>
  </si>
  <si>
    <t>CONTRIBUIÇÃO PREVIDENCIÁRIA SOBRE RECEITA BRUTA (***)</t>
  </si>
  <si>
    <t>CPRB</t>
  </si>
  <si>
    <t>*</t>
  </si>
  <si>
    <t>I</t>
  </si>
  <si>
    <t>Taxa de Lucro</t>
  </si>
  <si>
    <t>L</t>
  </si>
  <si>
    <t>BDI Resultante</t>
  </si>
  <si>
    <t>Fórmula do BDI conforme Acórdão TCU 2622/2013-P:</t>
  </si>
  <si>
    <t xml:space="preserve">Obs.: </t>
  </si>
  <si>
    <t>(*) Todas as taxas adotadas estão na faixa admissível do Acórdão 2622/2013-P do TCU.</t>
  </si>
  <si>
    <t>Obs.:
1. Acompanhar a questão, pois existe a possibilidade da Lei da Desoneração vencer ou ser revogada.
2. As atividades incluídas na desoneração são as relativas aos grupos 412, 432, 433 e 439 da CNAE 2.0</t>
  </si>
  <si>
    <t>Obs.:</t>
  </si>
  <si>
    <t>Fórmula BDI conforme Acórdão TCU 325/2007:</t>
  </si>
  <si>
    <t xml:space="preserve">Taxa de Tributos (Soma dos itens COFINS, ISS, PIS e CPRB) </t>
  </si>
  <si>
    <t>TOTAIS ACUMULADOS</t>
  </si>
  <si>
    <t>med</t>
  </si>
  <si>
    <t>*med=min</t>
  </si>
  <si>
    <t>min-med</t>
  </si>
  <si>
    <t>(BDI padrão Edificações com CPRB considerando M.O. de 40%)</t>
  </si>
  <si>
    <t>Taxa de Seguro e Taxa de Garantia</t>
  </si>
  <si>
    <t>S + G</t>
  </si>
  <si>
    <t>8.2</t>
  </si>
  <si>
    <t>CUSTO UNIT. S/BDI</t>
  </si>
  <si>
    <t>VALOR UNIT. C/BDI</t>
  </si>
  <si>
    <t>VALOR TOTAL (R$)</t>
  </si>
  <si>
    <t xml:space="preserve">BDI </t>
  </si>
  <si>
    <t>B</t>
  </si>
  <si>
    <t>H</t>
  </si>
  <si>
    <t>h0</t>
  </si>
  <si>
    <t>h1</t>
  </si>
  <si>
    <t>a</t>
  </si>
  <si>
    <t>b</t>
  </si>
  <si>
    <t>Composição</t>
  </si>
  <si>
    <t>M</t>
  </si>
  <si>
    <t xml:space="preserve">--&gt; </t>
  </si>
  <si>
    <t>CONSTRUÇÃO DE TAPUME METÁLICO EM TELHA DE AÇO TRAPEZOIDAL E=0,5MM, FIXADA COM ESTRUTURA DE MADEIRA</t>
  </si>
  <si>
    <t>M2</t>
  </si>
  <si>
    <t>13.1</t>
  </si>
  <si>
    <t>df</t>
  </si>
  <si>
    <t>UN</t>
  </si>
  <si>
    <t>93358</t>
  </si>
  <si>
    <t>87879</t>
  </si>
  <si>
    <t>M3</t>
  </si>
  <si>
    <t>88485</t>
  </si>
  <si>
    <t>88489</t>
  </si>
  <si>
    <t>86888</t>
  </si>
  <si>
    <t>95544</t>
  </si>
  <si>
    <t>ALT/ESP</t>
  </si>
  <si>
    <t>PLACA DE OBRA EM CHAPA DE ACO GALVANIZADO</t>
  </si>
  <si>
    <t>ESCAVAÇÃO MANUAL DE VALA COM PROFUNDIDADE MENOR OU IGUAL A 1,50 M.</t>
  </si>
  <si>
    <t>REATERRO MANUAL DE VALAS COM COMPACTAÇÃO MECANIZADA E/OU MANUAL COM AUXÍLIO DE SOQUETE.</t>
  </si>
  <si>
    <t>LASTRO DE CONCRETO MAGRO, APLICADO EM PISOS OU RADIERS, OU FUNDAÇÕES.</t>
  </si>
  <si>
    <t>LAJE PRE-MOLDADA BETA 16 P/3,5KN/M2 VAO 5,2M INCL VIGOTAS, TIJOLOS/EPS, ARMADURA NEGATIVA, ARMADURA DE DISTRIBUIÇÃO (TELA Q-61), CAPEAMENTO 4CM CONCRETO 25MPA, ESCORAMENTO, MATERIAL E MAO DE OBRA.</t>
  </si>
  <si>
    <t>VERGA PRÉ-MOLDADA DE CONCRETO ARMADO PARA PORTAS.</t>
  </si>
  <si>
    <t>ALVENARIA DE VEDAÇÃO DE BLOCOS CERÂMICOS FURADOS NA HORIZONTAL DE 9X19X19CM (ESPESSURA 9CM) E ARGAMASSA DE ASSENTAMENTO COM PREPARO EM BETONEIRA.</t>
  </si>
  <si>
    <t>CHAPISCO APLICADO EM ALVENARIAS E ESTRUTURAS DE CONCRETO INTERNAS, COM COLHER DE PEDREIRO.  ARGAMASSA TRAÇO 1:3 COM PREPARO EM BETONEIRA 400L.</t>
  </si>
  <si>
    <t>EMBOÇO, PARA RECEBIMENTO DE CERÂMICA, EM ARGAMASSA TRAÇO 1:2:8, PREPARO MECÂNICO COM BETONEIRA 400L, APLICADO MANUALMENTE EM FACES INTERNAS/EXTERNAS DE PAREDES, ESPESSURA DE 20MM, COM EXECUÇÃO DE TALISCAS.</t>
  </si>
  <si>
    <t>REVESTIMENTO CERÂMICO PARA PAREDES INTERNAS COM PLACAS TIPO ESMALTADA EXTRA, GRÊS OU SEMI-GRÊS, TIPO A, PEI 4, DE DIMENSÕES 40X40CM OU 50X50CM OU 60X60CM</t>
  </si>
  <si>
    <t>LASTRO DE CONCRETO MAGRO, APLICADO EM PISOS OU RADIERS, ESPESSURA DE 5CM.</t>
  </si>
  <si>
    <t>REVESTIMENTO PARA PISO COM PLACAS TIPO PORCELANATO POLIDO, DE ALTA QUALIDADE, DIMENSÕES 60X60CM APLICADA SOBRE CONTRAPISO, INCLUINDO ARGAMASSA COLANTE DE ASSENTAMENTO E REJUNTE FLEXÍVEL</t>
  </si>
  <si>
    <t>FABRICAÇÃO E INSTALAÇÃO DE ESTRUTURA PONTALETADA DE MADEIRA NÃO APARELHADA PARA TELHADOS COM ATÉ 2 ÁGUAS E PARA TELHA ONDULADA DE FIBROCIMENTO, METÁLICA, PLÁSTICA OU TERMOACÚSTICA, INCLUSO TRANSPORTE VERTICAL.</t>
  </si>
  <si>
    <t>TELHAMENTO COM TELHA ONDULADA DE FIBROCIMENTO E = 6 MM, COM RECOBRIMENTO LATERAL DE 1/4 DE ONDA PARA TELHADO COM INCLINAÇÃO MAIOR QUE 10°, COM ATÉ 2 ÁGUAS, INCLUSO IÇAMENTO.</t>
  </si>
  <si>
    <t>TUBO PVC, SERIE NORMAL, ESGOTO PREDIAL, DN 150 MM, FORNECIDO E INSTALADO EM SUBCOLETOR AÉREO OU HORIZONTAL DE ESGOTO SANITÁRIO OU ÁGUAS PLUVIAIS, INCLUSIVE CONEXÕES.</t>
  </si>
  <si>
    <t>ESQUADRIA DE MADEIRA COM GRADE E FOLHA EM MADEIRA DE LEI PARA PORTAS EXTERNAS INCLUSIVE ASSENTAMENTO E FERRAGENS.</t>
  </si>
  <si>
    <t>APLICAÇÃO DE FUNDO SELADOR ACRÍLICO EM PAREDES, UMA DEMÃO.</t>
  </si>
  <si>
    <t>APLICAÇÃO MANUAL DE PINTURA COM TINTA LÁTEX ACRÍLICA EM PAREDES, DUAS DEMÃOS.</t>
  </si>
  <si>
    <t>PINTURA EM VERNIZ SINTETICO BRILHANTE SOBRE ESQUADRIAS DE MADEIRA, TRES DEMAOS</t>
  </si>
  <si>
    <t>PONTO DE ILUMINAÇÃO RESIDENCIAL INCLUINDO INTERRUPTOR SIMPLES, CAIXA ELÉTRICA, ELETRODUTO, CABO, RASGO, QUEBRA E CHUMBAMENTO (EXCLUINDO LUMINÁRIA E LÂMPADA).</t>
  </si>
  <si>
    <t>RELE FOTOELETRICO P/ COMANDO DE ILUMINACAO EXTERNA 220V/1000W - FORNECIMENTO E INSTALACAO</t>
  </si>
  <si>
    <t>LUMINÁRIA TIPO PLAFON EM PLÁSTICO, DE SOBREPOR, COM 1 LÂMPADA LED 10W - FORNECIMENTO E INSTALAÇÃO.</t>
  </si>
  <si>
    <t>DISJUNTOR TERMOMAGNETICO MONOPOLAR PADRAO NEMA OU DIN, 35 A 50A 240V, FORNECIMENTO E INSTALACAO</t>
  </si>
  <si>
    <t>PONTO DE CONSUMO TERMINAL DE ÁGUA FRIA (SUBRAMAL) COM TUBULAÇÃO DE PVC, DN 25 MM, INSTALADO EM RAMAL DE ÁGUA, INCLUSOS RASGO E CHUMBAMENTO EM ALVENARIA.</t>
  </si>
  <si>
    <t>PONTO DE ESGOTO PARA BACIA SANITARIA, INCLUSIVE TUBULACOES E CONEXOES EM PVC RIGIDO SOLDAVEIS, ATE A COLUNA OU O SUB-COLETOR</t>
  </si>
  <si>
    <t>PONTO DE ESGOTO PARA LAVATÓRIO OU MICTÓRIO , INCLUSIVE TUBULACOES E CONEXOES EM PVC RIGIDO SOLDAVEIS , ATE A COLUNA OU O SUB-COLETOR</t>
  </si>
  <si>
    <t>VASO SANITÁRIO SIFONADO COM CAIXA ACOPLADA LOUÇA BRANCA, INCLUSIVE TAMPA E ACESSÓRIOS CORRESPONDENTES - FORNECIMENTO E INSTALAÇÃO.</t>
  </si>
  <si>
    <t>LAVATÓRIO DE LOUÇA BRANCA SUSPENSO, 29,5 X 39CM OU EQUIVALENTE, PADRÃO MÉDIO, INCLUSIVE ACESSÓRIOS, VÁLVULA E SIFÃO - FORNECIMENTO E INSTALAÇÃO.</t>
  </si>
  <si>
    <t>REGISTRO DE GAVETA BRUTO, LATÃO, ROSCÁVEL, 3/4", FORNECIDO E INSTALADO EM RAMAL DE ÁGUA.</t>
  </si>
  <si>
    <t>PAPELEIRA DE PAREDE EM METAL CROMADO SEM TAMPA, INCLUSO FIXAÇÃO.</t>
  </si>
  <si>
    <t>LUMINÁRIA DE EMERGÊNCIA, 30 LEDS, 2W, BATERIA COM AUTONOMIA DE 6 HORAS - FORNECIMENTO E INSTALAÇÃO.</t>
  </si>
  <si>
    <t>LASTRO DE CONCRETO MAGRO, APLICADO EM PISOS OU RADIERS. AF_08/2017</t>
  </si>
  <si>
    <t>CHAPISCO APLICADO EM ALVENARIAS E ESTRUTURAS DE CONCRETO INTERNAS, COM COLHER DE PEDREIRO.  ARGAMASSA TRAÇO 1:3 COM PREPARO EM BETONEIRA 400L. AF_06/2014</t>
  </si>
  <si>
    <t>APLICAÇÃO MANUAL DE PINTURA COM TINTA LÁTEX ACRÍLICA EM PAREDES, DUAS DEMÃOS. AF_06/2014</t>
  </si>
  <si>
    <t>PAPELEIRA DE PAREDE EM METAL CROMADO SEM TAMPA, INCLUSO FIXAÇÃO. AF_10/2016</t>
  </si>
  <si>
    <t>001</t>
  </si>
  <si>
    <t>OK</t>
  </si>
  <si>
    <t>004</t>
  </si>
  <si>
    <t>91953</t>
  </si>
  <si>
    <t>INTERRUPTOR SIMPLES (1 MÓDULO), 10A/250V, INCLUINDO SUPORTE E PLACA - FORNECIMENTO E INSTALAÇÃO. AF_12/2015</t>
  </si>
  <si>
    <t>005</t>
  </si>
  <si>
    <t>12.4</t>
  </si>
  <si>
    <t>VASO SANITÁRIO SIFONADO COM CAIXA ACOPLADA LOUÇA BRANCA, INCUSIVE ACESSÓRIOS - FORNECIMENTO E INSTALAÇÃO. AF_12/2013</t>
  </si>
  <si>
    <t>12.7</t>
  </si>
  <si>
    <t>12.8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</si>
  <si>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</si>
  <si>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</si>
  <si>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</si>
  <si>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</si>
  <si>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</si>
  <si>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</si>
  <si>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</si>
  <si>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</si>
  <si>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</si>
  <si>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ESCAVAÇÃO MANUAL DE VALA COM PROFUNDIDADE MENOR OU IGUAL A 1,30 M. AF_03/2016</t>
  </si>
  <si>
    <t>COMPOSIÇÕES DE CUSTOS UNITÁRIOS COMPLEMENTARES</t>
  </si>
  <si>
    <t>73611</t>
  </si>
  <si>
    <t>Código de referência (origem dos coeficientes da composição)</t>
  </si>
  <si>
    <t xml:space="preserve">Discriminação do código de referência: </t>
  </si>
  <si>
    <t>Unidade</t>
  </si>
  <si>
    <t>Preço Unitário Custo</t>
  </si>
  <si>
    <t>Quantidade</t>
  </si>
  <si>
    <t>COM DESONERAÇÂO</t>
  </si>
  <si>
    <t>SEM DESONERAÇÂO</t>
  </si>
  <si>
    <t xml:space="preserve">Fonte </t>
  </si>
  <si>
    <t>Código</t>
  </si>
  <si>
    <t>Coeficiente</t>
  </si>
  <si>
    <t>Custo
Unitário</t>
  </si>
  <si>
    <t>Custo
Total</t>
  </si>
  <si>
    <t>SINAPI
INSUMO</t>
  </si>
  <si>
    <t>7271</t>
  </si>
  <si>
    <t xml:space="preserve">UN    </t>
  </si>
  <si>
    <t>SINAPI
COMPOSIÇÃO</t>
  </si>
  <si>
    <t>88309</t>
  </si>
  <si>
    <t>PEDREIRO COM ENCARGOS COMPLEMENTARES</t>
  </si>
  <si>
    <t>88316</t>
  </si>
  <si>
    <t>SERVENTE COM ENCARGOS COMPLEMENTARES</t>
  </si>
  <si>
    <t>Total</t>
  </si>
  <si>
    <t>COMPOSIÇÃO 03</t>
  </si>
  <si>
    <t>CAIXA OCTOGONAL 3" X 3", PVC, INSTALADA EM LAJE - FORNECIMENTO E INSTALAÇÃO. AF_12/2015</t>
  </si>
  <si>
    <t>COMPOSIÇÃO 01</t>
  </si>
  <si>
    <t>Volume escavação (item 3.1)</t>
  </si>
  <si>
    <t>Menos volume de concreto magro (item 4.1)</t>
  </si>
  <si>
    <t>LAJE PRÉ-MOLDADA UNIDIRECIONAL, BIAPOIADA, PARA PISO, ENCHIMENTO EM CERÂMICA, VIGOTA CONVENCIONAL, ALTURA TOTAL DA LAJE (ENCHIMENTO+CAPA) = (8+4). AF_11/2020</t>
  </si>
  <si>
    <t>COMPOSIÇÃO 02</t>
  </si>
  <si>
    <t>COMPOSIÇÃO 04</t>
  </si>
  <si>
    <t>90447</t>
  </si>
  <si>
    <t>RASGO EM ALVENARIA PARA ELETRODUTOS COM DIAMETROS MENORES OU IGUAIS A 40 MM. AF_05/2015</t>
  </si>
  <si>
    <t>90456</t>
  </si>
  <si>
    <t>QUEBRA EM ALVENARIA PARA INSTALAÇÃO DE CAIXA DE TOMADA (4X4 OU 4X2). AF_05/2015</t>
  </si>
  <si>
    <t>90466</t>
  </si>
  <si>
    <t>CHUMBAMENTO LINEAR EM ALVENARIA PARA RAMAIS/DISTRIBUIÇÃO COM DIÂMETROS MENORES OU IGUAIS A 40 MM. AF_05/2015</t>
  </si>
  <si>
    <t>2,0000000</t>
  </si>
  <si>
    <t>91937</t>
  </si>
  <si>
    <t>91940</t>
  </si>
  <si>
    <t>CAIXA RETANGULAR 4" X 2" MÉDIA (1,30 M DO PISO), PVC, INSTALADA EM PAREDE - FORNECIMENTO E INSTALAÇÃO. AF_12/2015</t>
  </si>
  <si>
    <t>93137</t>
  </si>
  <si>
    <t>COMPOSIÇÃO 05</t>
  </si>
  <si>
    <t>COMPOSIÇÃO 06</t>
  </si>
  <si>
    <t>COMPOSIÇÃO 07</t>
  </si>
  <si>
    <t>11.0</t>
  </si>
  <si>
    <t>91926</t>
  </si>
  <si>
    <t>CABO DE COBRE FLEXÍVEL ISOLADO, 2,5 MM², ANTI-CHAMA 450/750 V, PARA CIRCUITOS TERMINAIS - FORNECIMENTO E INSTALAÇÃO. AF_12/2015</t>
  </si>
  <si>
    <t>COMPOSIÇÃO 08</t>
  </si>
  <si>
    <t>96109</t>
  </si>
  <si>
    <t>FORRO EM PLACAS DE GESSO, PARA AMBIENTES RESIDENCIAIS. AF_05/2017_P</t>
  </si>
  <si>
    <t>1.0</t>
  </si>
  <si>
    <t>1.1</t>
  </si>
  <si>
    <t>2.0</t>
  </si>
  <si>
    <t>3.0</t>
  </si>
  <si>
    <t>4.0</t>
  </si>
  <si>
    <t>5.0</t>
  </si>
  <si>
    <t>6.0</t>
  </si>
  <si>
    <t>7.0</t>
  </si>
  <si>
    <t>8.0</t>
  </si>
  <si>
    <t>9.0</t>
  </si>
  <si>
    <t>10.0</t>
  </si>
  <si>
    <t>12.0</t>
  </si>
  <si>
    <t>13.0</t>
  </si>
  <si>
    <t>WC PNE</t>
  </si>
  <si>
    <t>Sapatas</t>
  </si>
  <si>
    <t>Pilares</t>
  </si>
  <si>
    <t>COMPOSIÇÃO</t>
  </si>
  <si>
    <t>Sala 01</t>
  </si>
  <si>
    <t>SINAPI-PE 73935/2 (AGOSTO/2016)</t>
  </si>
  <si>
    <t>ALVENARIA EM TIJOLO CERAMICO FURADO 9X19X19CM, 1 VEZ (ESPESSURA 19 CM), ASSENTADO EM ARGAMASSA TRACO 1:4 (CIMENTO E AREIA MEDIA), PREPARO MANUAL, JUNTA 1 CM</t>
  </si>
  <si>
    <t>ALVENARIA EM TIJOLO CERAMICO FURADO 9X19X19CM, 1 VEZ (ESPESSURA 19 CM), ASSENTADO EM ARGAMASSA TRACO 1:4 (CIMENTO E AREIA MEDIA), PREPARO MECÂNICO, JUNTAS DE 1 CM</t>
  </si>
  <si>
    <t>88630</t>
  </si>
  <si>
    <t>ARGAMASSA TRAÇO 1:4 (CIMENTO E AREIA MÉDIA), PREPARO MECÂNICO COM BETONEIRA 400 L. AF_08/2014</t>
  </si>
  <si>
    <t>BLOCO CERAMICO / TIJOLO VAZADO PARA ALVENARIA DE VEDACAO, 8 FUROS NA HORIZONTAL, DE 9 X 19 X 19 CM (L XA X C)</t>
  </si>
  <si>
    <t>103328</t>
  </si>
  <si>
    <t>ALVENARIA DE VEDAÇÃO DE BLOCOS CERÂMICOS FURADOS NA HORIZONTAL DE 9X19X19 CM (ESPESSURA 9 CM) E ARGAMASSA DE ASSENTAMENTO COM PREPARO EM BETONEIRA. AF_12/2021</t>
  </si>
  <si>
    <t>87792</t>
  </si>
  <si>
    <t>EMBOÇO OU MASSA ÚNICA EM ARGAMASSA TRAÇO 1:2:8, PREPARO MECÂNICO COM BETONEIRA 400 L, APLICADA MANUALMENTE EM PANOS CEGOS DE FACHADA (SEM PRESENÇA DE VÃOS), ESPESSURA DE 25 MM. AF_06/2014</t>
  </si>
  <si>
    <t>90799</t>
  </si>
  <si>
    <t>KIT DE PORTA-PRONTA DE MADEIRA EM ACABAMENTO MELAMÍNICO BRANCO, FOLHA PESADA OU SUPERPESADA, E BATENTE METÁLICO, 90X210CM, FIXAÇÃO COM ARGAMASSA - FORNECIMENTO E INSTALAÇÃO. AF_12/2019</t>
  </si>
  <si>
    <t>102220</t>
  </si>
  <si>
    <t>PINTURA TINTA DE ACABAMENTO (PIGMENTADA) ESMALTE SINTÉTICO BRILHANTE EM MADEIRA, 2 DEMÃOS. AF_01/2021</t>
  </si>
  <si>
    <t>PONTO DE ILUMINAÇÃO RESIDENCIAL INCLUINDO INTERRUPTOR SIMPLES, CAIXA ELÉTRICA, ELETRODUTO, CABO, RASGO, QUEBRA E CHUMBAMENTO (EXCLUINDO LUMINÁRIA E LÂMPADA). AF_01/2016</t>
  </si>
  <si>
    <t>SINAPI-PE 93128 (JULHO/2020)</t>
  </si>
  <si>
    <t>PONTO DE ILUMINAÇÃO INSTALADO EM TETO OU FORRO, COM ELETRODUTO DE PVC FLEXÍVEL CORRUGADO DE 25 MM (3/4"), CABO DE COBRE ANTI-CHAMA DE 2,5 MM²</t>
  </si>
  <si>
    <t>91854</t>
  </si>
  <si>
    <t>ELETRODUTO FLEXÍVEL CORRUGADO, PVC, DN 25 MM (3/4"), PARA CIRCUITOS TERMINAIS, INSTALADO EM PAREDE - FORNECIMENTO E INSTALAÇÃO. AF_12/2015</t>
  </si>
  <si>
    <t>PONTO DE INTERRUPTOR SIMPLES, CAIXA RETANGULAR 4" X 2", ELETRODUTO DE PVC FLEXÍVEL CORRUGADO DE 25 MM (3/4"), CABO DE COBRE ANTI-CHAMA DE 2,5 MM², RASGO, QUEBRA E CHUMBAMENTO</t>
  </si>
  <si>
    <t>Código de referência (origem dos coeficientes da composição):</t>
  </si>
  <si>
    <t>Unidade:</t>
  </si>
  <si>
    <t>Custo Unitário:</t>
  </si>
  <si>
    <t>Quantidade:</t>
  </si>
  <si>
    <t>SINAPI-I</t>
  </si>
  <si>
    <t>5.2</t>
  </si>
  <si>
    <t>6.4</t>
  </si>
  <si>
    <t>7.3</t>
  </si>
  <si>
    <t>10.2</t>
  </si>
  <si>
    <t>11.3</t>
  </si>
  <si>
    <t>11.4</t>
  </si>
  <si>
    <t>12.2</t>
  </si>
  <si>
    <t>8.3</t>
  </si>
  <si>
    <t>12.5</t>
  </si>
  <si>
    <t>12.6</t>
  </si>
  <si>
    <t>13.2</t>
  </si>
  <si>
    <t>(**) A alíquota de ISS no Município do Brejo da Madre de Deus/PE é de 5% sobre os custos de mão de obra. 
Considerou-se para todos os serviços uma proporção de 40% de mão de obra, de modo que a taxa de ISS a incidir sobre os custos unitários dos itens será de 5% x 40% = 2,00%.</t>
  </si>
  <si>
    <t>10.</t>
  </si>
  <si>
    <t>11.</t>
  </si>
  <si>
    <t>Baldrame</t>
  </si>
  <si>
    <t>3.3</t>
  </si>
  <si>
    <t>Depósito</t>
  </si>
  <si>
    <t xml:space="preserve">Sapatas </t>
  </si>
  <si>
    <t>Sala 02</t>
  </si>
  <si>
    <t>Sala 03</t>
  </si>
  <si>
    <t>Sala o4</t>
  </si>
  <si>
    <t>Sala 05</t>
  </si>
  <si>
    <t>Sala 06</t>
  </si>
  <si>
    <t>W masculino</t>
  </si>
  <si>
    <t>W feminino</t>
  </si>
  <si>
    <t>003</t>
  </si>
  <si>
    <t>Vigas</t>
  </si>
  <si>
    <t>Descontos das Esquadrias</t>
  </si>
  <si>
    <t>ADMINISTRAÇÃO</t>
  </si>
  <si>
    <t>Vedações</t>
  </si>
  <si>
    <t>Desconto</t>
  </si>
  <si>
    <t>área CAD</t>
  </si>
  <si>
    <t>J01</t>
  </si>
  <si>
    <t>J02</t>
  </si>
  <si>
    <t>AR</t>
  </si>
  <si>
    <t>TOMADAS</t>
  </si>
  <si>
    <t>SALAS</t>
  </si>
  <si>
    <t>DEMAIS</t>
  </si>
  <si>
    <t>103689</t>
  </si>
  <si>
    <t>FORNECIMENTO E INSTALAÇÃO DE PLACA DE OBRA COM CHAPA GALVANIZADA E ESTRUTURA DE MADEIRA. AF_03/2022_PS</t>
  </si>
  <si>
    <t>Placa da obra</t>
  </si>
  <si>
    <t>ADMINISTRAÇÃO LOCAL DE OBRA</t>
  </si>
  <si>
    <t>93572</t>
  </si>
  <si>
    <t>93567</t>
  </si>
  <si>
    <t>ENCARREGADO GERAL DE OBRAS COM ENCARGOS COMPLEMENTARES</t>
  </si>
  <si>
    <t>MES</t>
  </si>
  <si>
    <t>ENGENHEIRO CIVIL DE OBRA PLENO COM ENCARGOS COMPLEMENTARES</t>
  </si>
  <si>
    <t>99059</t>
  </si>
  <si>
    <t>LOCACAO CONVENCIONAL DE OBRA, UTILIZANDO GABARITO DE TÁBUAS CORRIDAS PONTALETADAS A CADA 2,00M -  2 UTILIZAÇÕES. AF_10/2018</t>
  </si>
  <si>
    <t>98459</t>
  </si>
  <si>
    <t>94319</t>
  </si>
  <si>
    <t>ATERRO MANUAL DE VALAS COM SOLO ARGILO-ARENOSO. AF_08/2023</t>
  </si>
  <si>
    <t>104737</t>
  </si>
  <si>
    <t>REATERRO MANUAL DE VALAS, COM PLACA VIBRATÓRIA. AF_08/2023</t>
  </si>
  <si>
    <t>92541</t>
  </si>
  <si>
    <t>TRAMA DE MADEIRA COMPOSTA POR RIPAS, CAIBROS E TERÇAS PARA TELHADOS DE ATÉ 2 ÁGUAS PARA TELHA CERÂMICA CAPA-CANAL, INCLUSO TRANSPORTE VERTICAL. AF_07/2019</t>
  </si>
  <si>
    <t>94201</t>
  </si>
  <si>
    <t>TELHAMENTO COM TELHA CERÂMICA CAPA-CANAL, TIPO COLONIAL, COM ATÉ 2 ÁGUAS, INCLUSO TRANSPORTE VERTICAL. AF_07/2019</t>
  </si>
  <si>
    <t>89578</t>
  </si>
  <si>
    <t>TUBO PVC, SÉRIE R, ÁGUA PLUVIAL, DN 100 MM, FORNECIDO E INSTALADO EM CONDUTORES VERTICAIS DE ÁGUAS PLUVIAIS. AF_06/2022</t>
  </si>
  <si>
    <t>94229</t>
  </si>
  <si>
    <t>CALHA EM CHAPA DE AÇO GALVANIZADO NÚMERO 24, DESENVOLVIMENTO DE 100 CM, INCLUSO TRANSPORTE VERTICAL. AF_07/2019</t>
  </si>
  <si>
    <t>90794</t>
  </si>
  <si>
    <t>KIT DE PORTA-PRONTA DE MADEIRA EM ACABAMENTO MELAMÍNICO BRANCO, FOLHA LEVE OU MÉDIA, E BATENTE METÁLICO, 60X210CM, FIXAÇÃO COM ARGAMASSA - FORNECIMENTO E INSTALAÇÃO. AF_12/2019</t>
  </si>
  <si>
    <t>94573</t>
  </si>
  <si>
    <t>JANELA DE ALUMÍNIO DE CORRER COM 4 FOLHAS PARA VIDROS, COM VIDROS, BATENTE, ACABAMENTO COM ACETATO OU BRILHANTE E FERRAGENS. EXCLUSIVE ALIZAR E CONTRAMARCO. FORNECIMENTO E INSTALAÇÃO. AF_12/2019</t>
  </si>
  <si>
    <t>INTERRUPTOR SIMPLES (2 MÓDULOS), 10A/250V, INCLUINDO SUPORTE E PLACA - FORNECIMENTO E INSTALAÇÃO. AF_03/2023</t>
  </si>
  <si>
    <t>PONTO DE INTERRUPTOR COM DOIS MODULOS, CAIXA RETANGULAR 4" X 2", ELETRODUTO DE PVC FLEXÍVEL CORRUGADO DE 25 MM (3/4"), CABO DE COBRE ANTI-CHAMA DE 2,5 MM², RASGO, QUEBRA E CHUMBAMENTO</t>
  </si>
  <si>
    <t>COMPOSIÇÃO PARAMÉTRICA DE PONTO ELÉTRICO DE TOMADA DE USO GERAL 2P+T (10A/250V) EM EDIFÍCIO RESIDENCIAL COM ELETRODUTO EMBUTIDO EM RASGOS NAS PAREDES, INCLUSO TOMADA, ELETRODUTO, CABO, RASGO, QUEBRA E CHUMBAMENTO. AF_11/2022</t>
  </si>
  <si>
    <t>COMPOSIÇÃO PARAMÉTRICA DE PONTO ELÉTRICO DE TOMADA DE USO ESPECÍFICO 2P+T (20A/250V) EM EDIFÍCIO RESIDENCIAL COM ELETRODUTO EMBUTIDO EM RASGOS NAS PAREDES, INCLUSO TOMADA, ELETRODUTO, CABO, RASGO, QUEBRA E CHUMBAMENTO (EXCETO CHUVEIRO). AF_11/2022</t>
  </si>
  <si>
    <t>102623</t>
  </si>
  <si>
    <t>CAIXA D´ÁGUA EM POLIETILENO, 1000 LITROS (INCLUSOS TUBOS, CONEXÕES E TORNEIRA DE BÓIA) - FORNECIMENTO E INSTALAÇÃO. AF_06/2021</t>
  </si>
  <si>
    <t>100868</t>
  </si>
  <si>
    <t>BARRA DE APOIO RETA, EM ACO INOX POLIDO, COMPRIMENTO 80 CM,  FIXADA NA PAREDE - FORNECIMENTO E INSTALAÇÃO. AF_01/2020</t>
  </si>
  <si>
    <t>área de reboco</t>
  </si>
  <si>
    <t>área de forro</t>
  </si>
  <si>
    <t>desconto da área de ceramica</t>
  </si>
  <si>
    <t>2x</t>
  </si>
  <si>
    <t>97599</t>
  </si>
  <si>
    <t>LUMINÁRIA DE EMERGÊNCIA, COM 30 LÂMPADAS LED DE 2 W, SEM REATOR - FORNECIMENTO E INSTALAÇÃO. AF_02/2020</t>
  </si>
  <si>
    <t>1.2</t>
  </si>
  <si>
    <t>1.3</t>
  </si>
  <si>
    <t>8.4</t>
  </si>
  <si>
    <t>8.5</t>
  </si>
  <si>
    <t>preço m2</t>
  </si>
  <si>
    <t>11.5</t>
  </si>
  <si>
    <t>11.6</t>
  </si>
  <si>
    <t>11.7</t>
  </si>
  <si>
    <t>11.8</t>
  </si>
  <si>
    <r>
      <rPr>
        <b/>
        <u/>
        <sz val="8"/>
        <rFont val="Calibri"/>
        <family val="2"/>
      </rPr>
      <t>COM</t>
    </r>
    <r>
      <rPr>
        <b/>
        <sz val="8"/>
        <rFont val="Calibri"/>
        <family val="2"/>
      </rPr>
      <t xml:space="preserve"> DESON</t>
    </r>
  </si>
  <si>
    <r>
      <rPr>
        <b/>
        <u/>
        <sz val="8"/>
        <rFont val="Calibri"/>
        <family val="2"/>
      </rPr>
      <t>SEM</t>
    </r>
    <r>
      <rPr>
        <b/>
        <sz val="8"/>
        <rFont val="Calibri"/>
        <family val="2"/>
      </rPr>
      <t xml:space="preserve"> DESON</t>
    </r>
  </si>
  <si>
    <r>
      <t xml:space="preserve">ORÇAMENTO </t>
    </r>
    <r>
      <rPr>
        <b/>
        <u/>
        <sz val="8"/>
        <rFont val="Calibri"/>
        <family val="2"/>
      </rPr>
      <t>SEM</t>
    </r>
    <r>
      <rPr>
        <b/>
        <sz val="8"/>
        <rFont val="Calibri"/>
        <family val="2"/>
      </rPr>
      <t xml:space="preserve"> DESONERAÇÃO</t>
    </r>
  </si>
  <si>
    <t>Formas de Fundação - PRANCHA 01</t>
  </si>
  <si>
    <t>(pesos de aço devem ser indicados sem perdas, pois o item do SINAPI já contempla as perdas)</t>
  </si>
  <si>
    <t>ARMAÇÃO DE BLOCO, VIGA BALDRAME OU SAPATA UTILIZANDO AÇO CA-50 DE 10 MM - MONTAGEM. AF_06/2017</t>
  </si>
  <si>
    <t>KG</t>
  </si>
  <si>
    <t>qtd de sapatas</t>
  </si>
  <si>
    <t>qtd de lados</t>
  </si>
  <si>
    <t>medida de um lado</t>
  </si>
  <si>
    <t>ARMAÇÃO DE PILAR OU VIGA DE ESTRUTURA CONVENCIONAL DE CONCRETO ARMADO UTILIZANDO AÇO CA-50 DE 10,0 MM - MONTAGEM. AF_06/2022</t>
  </si>
  <si>
    <t>ARMAÇÃO DE PILAR OU VIGA DE ESTRUTURA CONVENCIONAL DE CONCRETO ARMADO UTILIZANDO AÇO CA-50 DE 12,5 MM - MONTAGEM. AF_06/2022</t>
  </si>
  <si>
    <t>ARMAÇÃO DE PILAR OU VIGA DE ESTRUTURA CONVENCIONAL DE CONCRETO ARMADO UTILIZANDO AÇO CA-60 DE 5,0 MM - MONTAGEM. AF_06/2022</t>
  </si>
  <si>
    <t>ARMAÇÃO DE PILAR OU VIGA DE ESTRUTURA CONVENCIONAL DE CONCRETO ARMADO UTILIZANDO AÇO CA-50 DE 6,3 MM - MONTAGEM. AF_06/2022</t>
  </si>
  <si>
    <t>igual volume concreto</t>
  </si>
  <si>
    <t>Menos volume de concreto em fundação</t>
  </si>
  <si>
    <t>103670</t>
  </si>
  <si>
    <t>LANÇAMENTO COM USO DE BALDES, ADENSAMENTO E ACABAMENTO DE CONCRETO EM ESTRUTURAS. AF_02/2022</t>
  </si>
  <si>
    <t>De acordo com a PRANCHA 05</t>
  </si>
  <si>
    <t>ARMAÇÃO DE PILAR OU VIGA DE ESTRUTURA CONVENCIONAL DE CONCRETO ARMADO UTILIZANDO AÇO CA-50 DE 8,0 MM - MONTAGEM. AF_06/2022</t>
  </si>
  <si>
    <t>De acordo com a PRANCHA 10</t>
  </si>
  <si>
    <t>FABRICAÇÃO, MONTAGEM E DESMONTAGEM DE FÔRMA PARA VIGA BALDRAME, EM MADEIRA SERRADA, E=25 MM, 4 UTILIZAÇÕES. AF_06/2017</t>
  </si>
  <si>
    <t>MONTAGEM E DESMONTAGEM DE FÔRMA DE PILARES RETANGULARES E ESTRUTURAS SIMILARES, PÉ-DIREITO SIMPLES, EM CHAPA DE MADEIRA COMPENSADA PLASTIFICADA, 12 UTILIZAÇÕES. AF_09/2020</t>
  </si>
  <si>
    <t>MONTAGEM E DESMONTAGEM DE FÔRMA DE VIGA, ESCORAMENTO METÁLICO, PÉ-DIREITO SIMPLES, EM CHAPA DE MADEIRA PLASTIFICADA, 10 UTILIZAÇÕES. AF_09/2020</t>
  </si>
  <si>
    <t>12.</t>
  </si>
  <si>
    <t>13.</t>
  </si>
  <si>
    <r>
      <t xml:space="preserve">BONIFICAÇÃO E DESPESAS INDIRETAS - </t>
    </r>
    <r>
      <rPr>
        <b/>
        <u/>
        <sz val="14"/>
        <rFont val="Calibri"/>
        <family val="2"/>
        <scheme val="minor"/>
      </rPr>
      <t>SEM</t>
    </r>
    <r>
      <rPr>
        <b/>
        <u/>
        <sz val="12"/>
        <rFont val="Calibri"/>
        <family val="2"/>
        <scheme val="minor"/>
      </rPr>
      <t xml:space="preserve"> DESONERAÇÃO</t>
    </r>
  </si>
  <si>
    <r>
      <t xml:space="preserve">De </t>
    </r>
    <r>
      <rPr>
        <b/>
        <sz val="10"/>
        <color theme="1"/>
        <rFont val="Calibri"/>
        <family val="2"/>
        <scheme val="minor"/>
      </rPr>
      <t>3,00%</t>
    </r>
    <r>
      <rPr>
        <sz val="10"/>
        <color theme="1"/>
        <rFont val="Calibri"/>
        <family val="2"/>
        <scheme val="minor"/>
      </rPr>
      <t xml:space="preserve"> até </t>
    </r>
    <r>
      <rPr>
        <b/>
        <sz val="10"/>
        <color theme="1"/>
        <rFont val="Calibri"/>
        <family val="2"/>
        <scheme val="minor"/>
      </rPr>
      <t>5,50%</t>
    </r>
    <r>
      <rPr>
        <sz val="10"/>
        <color theme="1"/>
        <rFont val="Calibri"/>
        <family val="2"/>
        <scheme val="minor"/>
      </rPr>
      <t xml:space="preserve">; médio = </t>
    </r>
    <r>
      <rPr>
        <b/>
        <sz val="10"/>
        <color theme="1"/>
        <rFont val="Calibri"/>
        <family val="2"/>
        <scheme val="minor"/>
      </rPr>
      <t>4,00%</t>
    </r>
  </si>
  <si>
    <r>
      <t xml:space="preserve">De </t>
    </r>
    <r>
      <rPr>
        <b/>
        <sz val="10"/>
        <color theme="1"/>
        <rFont val="Calibri"/>
        <family val="2"/>
        <scheme val="minor"/>
      </rPr>
      <t>0,59%</t>
    </r>
    <r>
      <rPr>
        <sz val="10"/>
        <color theme="1"/>
        <rFont val="Calibri"/>
        <family val="2"/>
        <scheme val="minor"/>
      </rPr>
      <t xml:space="preserve"> até </t>
    </r>
    <r>
      <rPr>
        <b/>
        <sz val="10"/>
        <color theme="1"/>
        <rFont val="Calibri"/>
        <family val="2"/>
        <scheme val="minor"/>
      </rPr>
      <t>1,39%</t>
    </r>
    <r>
      <rPr>
        <sz val="10"/>
        <color theme="1"/>
        <rFont val="Calibri"/>
        <family val="2"/>
        <scheme val="minor"/>
      </rPr>
      <t xml:space="preserve">; médio = </t>
    </r>
    <r>
      <rPr>
        <b/>
        <sz val="10"/>
        <color theme="1"/>
        <rFont val="Calibri"/>
        <family val="2"/>
        <scheme val="minor"/>
      </rPr>
      <t>1,23%</t>
    </r>
  </si>
  <si>
    <r>
      <t xml:space="preserve">De </t>
    </r>
    <r>
      <rPr>
        <b/>
        <sz val="10"/>
        <color theme="1"/>
        <rFont val="Calibri"/>
        <family val="2"/>
        <scheme val="minor"/>
      </rPr>
      <t>0,97%</t>
    </r>
    <r>
      <rPr>
        <sz val="10"/>
        <color theme="1"/>
        <rFont val="Calibri"/>
        <family val="2"/>
        <scheme val="minor"/>
      </rPr>
      <t xml:space="preserve"> até </t>
    </r>
    <r>
      <rPr>
        <b/>
        <sz val="10"/>
        <color theme="1"/>
        <rFont val="Calibri"/>
        <family val="2"/>
        <scheme val="minor"/>
      </rPr>
      <t>1,27%</t>
    </r>
    <r>
      <rPr>
        <sz val="10"/>
        <color theme="1"/>
        <rFont val="Calibri"/>
        <family val="2"/>
        <scheme val="minor"/>
      </rPr>
      <t xml:space="preserve">; médio = </t>
    </r>
    <r>
      <rPr>
        <b/>
        <sz val="10"/>
        <color theme="1"/>
        <rFont val="Calibri"/>
        <family val="2"/>
        <scheme val="minor"/>
      </rPr>
      <t>1,27%</t>
    </r>
  </si>
  <si>
    <r>
      <t xml:space="preserve">De </t>
    </r>
    <r>
      <rPr>
        <b/>
        <sz val="10"/>
        <color theme="1"/>
        <rFont val="Calibri"/>
        <family val="2"/>
        <scheme val="minor"/>
      </rPr>
      <t>0,80%</t>
    </r>
    <r>
      <rPr>
        <sz val="10"/>
        <color theme="1"/>
        <rFont val="Calibri"/>
        <family val="2"/>
        <scheme val="minor"/>
      </rPr>
      <t xml:space="preserve"> até </t>
    </r>
    <r>
      <rPr>
        <b/>
        <sz val="10"/>
        <color theme="1"/>
        <rFont val="Calibri"/>
        <family val="2"/>
        <scheme val="minor"/>
      </rPr>
      <t>1,00%</t>
    </r>
    <r>
      <rPr>
        <sz val="10"/>
        <color theme="1"/>
        <rFont val="Calibri"/>
        <family val="2"/>
        <scheme val="minor"/>
      </rPr>
      <t xml:space="preserve">; médio = </t>
    </r>
    <r>
      <rPr>
        <b/>
        <sz val="10"/>
        <color theme="1"/>
        <rFont val="Calibri"/>
        <family val="2"/>
        <scheme val="minor"/>
      </rPr>
      <t>0,80%</t>
    </r>
  </si>
  <si>
    <r>
      <t xml:space="preserve">De </t>
    </r>
    <r>
      <rPr>
        <b/>
        <sz val="10"/>
        <color theme="1"/>
        <rFont val="Calibri"/>
        <family val="2"/>
        <scheme val="minor"/>
      </rPr>
      <t>6,16%</t>
    </r>
    <r>
      <rPr>
        <sz val="10"/>
        <color theme="1"/>
        <rFont val="Calibri"/>
        <family val="2"/>
        <scheme val="minor"/>
      </rPr>
      <t xml:space="preserve"> até </t>
    </r>
    <r>
      <rPr>
        <b/>
        <sz val="10"/>
        <color theme="1"/>
        <rFont val="Calibri"/>
        <family val="2"/>
        <scheme val="minor"/>
      </rPr>
      <t>8,96%</t>
    </r>
    <r>
      <rPr>
        <sz val="10"/>
        <color theme="1"/>
        <rFont val="Calibri"/>
        <family val="2"/>
        <scheme val="minor"/>
      </rPr>
      <t xml:space="preserve">; médio = </t>
    </r>
    <r>
      <rPr>
        <b/>
        <sz val="10"/>
        <color theme="1"/>
        <rFont val="Calibri"/>
        <family val="2"/>
        <scheme val="minor"/>
      </rPr>
      <t>7,40%</t>
    </r>
  </si>
  <si>
    <r>
      <t xml:space="preserve">De </t>
    </r>
    <r>
      <rPr>
        <b/>
        <sz val="10"/>
        <color theme="1"/>
        <rFont val="Calibri"/>
        <family val="2"/>
        <scheme val="minor"/>
      </rPr>
      <t>20,34%</t>
    </r>
    <r>
      <rPr>
        <sz val="10"/>
        <color theme="1"/>
        <rFont val="Calibri"/>
        <family val="2"/>
        <scheme val="minor"/>
      </rPr>
      <t xml:space="preserve"> até </t>
    </r>
    <r>
      <rPr>
        <b/>
        <sz val="10"/>
        <color theme="1"/>
        <rFont val="Calibri"/>
        <family val="2"/>
        <scheme val="minor"/>
      </rPr>
      <t>25,00%</t>
    </r>
    <r>
      <rPr>
        <sz val="10"/>
        <color theme="1"/>
        <rFont val="Calibri"/>
        <family val="2"/>
        <scheme val="minor"/>
      </rPr>
      <t xml:space="preserve">; médio = </t>
    </r>
    <r>
      <rPr>
        <b/>
        <sz val="10"/>
        <color theme="1"/>
        <rFont val="Calibri"/>
        <family val="2"/>
        <scheme val="minor"/>
      </rPr>
      <t>22,12%</t>
    </r>
  </si>
  <si>
    <r>
      <t xml:space="preserve">(***) Conforme determina a Lei nº 13.161, de 31 de agosto de 2015, que altera a Lei nº 12.546, de 14 de dezembro 2011, para obras de infraestrutura e do setor de construção, foi regulamentada a substituição da contribuição previdenciária patronal de 20% sobre a folha de pagamentos por uma contribuição de 4,50% sobre a receita bruta, sendo facultativa a opção pela contribuição substitutiva. Nesta composição de BDI foi considerada a opção pela contribuição substitutiva, sendo portanto necessário utilizar tabelas de custos </t>
    </r>
    <r>
      <rPr>
        <u/>
        <sz val="11"/>
        <color rgb="FFFF0000"/>
        <rFont val="Calibri"/>
        <family val="2"/>
        <scheme val="minor"/>
      </rPr>
      <t>desoneradas</t>
    </r>
    <r>
      <rPr>
        <sz val="11"/>
        <color rgb="FFFF0000"/>
        <rFont val="Calibri"/>
        <family val="2"/>
        <scheme val="minor"/>
      </rPr>
      <t xml:space="preserve"> para elaboração do orçamento básico.</t>
    </r>
  </si>
  <si>
    <r>
      <rPr>
        <sz val="12"/>
        <color theme="1"/>
        <rFont val="Calibri"/>
        <family val="2"/>
        <scheme val="minor"/>
      </rPr>
      <t xml:space="preserve">    Os custos indiretos são decorrentes da estrutura da obra e da empresa e que não podem ser atribuídos diretamente à execução de um dado serviço.
    Os custos indiretos variam muito, principalmente, em função do local de execução dos serviços, do tipo da obra, impostos incidentes, e ainda com as exigências do edital ou contrato. Devem ser distribuídos pelos custos unitários diretos totais dos serviços na forma de percentual destes.
    Os custos indiretos que mais afetam a construção estão a seguir identificados, entretanto, o engenheiro de custos deve analisar em cada caso sua validade. </t>
    </r>
    <r>
      <rPr>
        <b/>
        <sz val="12"/>
        <color theme="1"/>
        <rFont val="Calibri"/>
        <family val="2"/>
        <scheme val="minor"/>
      </rPr>
      <t xml:space="preserve">
</t>
    </r>
  </si>
  <si>
    <t>4º MÊS</t>
  </si>
  <si>
    <t>5º MÊS</t>
  </si>
  <si>
    <t>6º MÊS</t>
  </si>
  <si>
    <t>7º MÊS</t>
  </si>
  <si>
    <t>8º MÊS</t>
  </si>
  <si>
    <t>9º MÊS</t>
  </si>
  <si>
    <t>10º MÊS</t>
  </si>
  <si>
    <t>SAPATAS (100X100)</t>
  </si>
  <si>
    <t>SAPATAS (90X90)</t>
  </si>
  <si>
    <t>SAPATAS (70X70)</t>
  </si>
  <si>
    <t>Circulação das salas</t>
  </si>
  <si>
    <t>Wc masculino</t>
  </si>
  <si>
    <t>Wc feminino</t>
  </si>
  <si>
    <t>Circulação de acesso</t>
  </si>
  <si>
    <t>Ar Condicionado</t>
  </si>
  <si>
    <t>AR CONDICIONADO</t>
  </si>
  <si>
    <t>LIGAÇÕES ATÉ A FOSSA</t>
  </si>
  <si>
    <t>ENTRE FOSSA E FILTRO</t>
  </si>
  <si>
    <t>VB1</t>
  </si>
  <si>
    <t>VB2</t>
  </si>
  <si>
    <t>VB3</t>
  </si>
  <si>
    <t>VB4</t>
  </si>
  <si>
    <t>VB5</t>
  </si>
  <si>
    <t>VB6</t>
  </si>
  <si>
    <t>VB7</t>
  </si>
  <si>
    <t>VB8</t>
  </si>
  <si>
    <t>VB9</t>
  </si>
  <si>
    <t>VB10</t>
  </si>
  <si>
    <t>VB11</t>
  </si>
  <si>
    <t>VB12</t>
  </si>
  <si>
    <t>VB13</t>
  </si>
  <si>
    <t>VB14</t>
  </si>
  <si>
    <t>VB15</t>
  </si>
  <si>
    <t>VB16</t>
  </si>
  <si>
    <t>VB17</t>
  </si>
  <si>
    <t>VB18</t>
  </si>
  <si>
    <t>VB19</t>
  </si>
  <si>
    <t>VB20</t>
  </si>
  <si>
    <t>VB21</t>
  </si>
  <si>
    <t>VB22</t>
  </si>
  <si>
    <t>VB23</t>
  </si>
  <si>
    <t>VB24</t>
  </si>
  <si>
    <t>VB25</t>
  </si>
  <si>
    <t>VB26</t>
  </si>
  <si>
    <t>VB27</t>
  </si>
  <si>
    <t>VB28</t>
  </si>
  <si>
    <t>VB29</t>
  </si>
  <si>
    <t>VB30</t>
  </si>
  <si>
    <t/>
  </si>
  <si>
    <t>S1=S3=S5=S6=S7=S8=S11=S12=S13=S14=S15=S16=S17=S18=S19=S20=S21=S22=S23=S24=S25=S27=S29=S31=S34=S36=S38=S49=S51=S53=S56=58=S60</t>
  </si>
  <si>
    <t>S26=S28=S30=S32=S33=S35=S37=39=S40=S41=S42=S43=S44=S45=S46=S47=S48=S50=S52=S54=S55=S57=S59=S61=S64=S66=S68=S69=S71=S73=S75=S76=S77=S78=S79=S80=S81=S82=S83=S84=S85=S86=S87=S88</t>
  </si>
  <si>
    <t>Formas de Fundação de Vigas - PRANCHA 02</t>
  </si>
  <si>
    <t>soma lados</t>
  </si>
  <si>
    <t>Vigas Baldrame</t>
  </si>
  <si>
    <t>CONCRETO FCK = 30MPA, TRAÇO 1:2,1:2,5 (EM MASSA SECA DE CIMENTO/ AREIA MÉDIA/ BRITA 1) - PREPARO MECÂNICO COM BETONEIRA 400 L. AF_05/2021</t>
  </si>
  <si>
    <t>De acordo com a PRANCHA 03 e 04</t>
  </si>
  <si>
    <t>PESO</t>
  </si>
  <si>
    <t>Pilares (20X50)</t>
  </si>
  <si>
    <t>Pilares (20X40)</t>
  </si>
  <si>
    <t>Pilares (20X30)</t>
  </si>
  <si>
    <t>Pilares (15X30)</t>
  </si>
  <si>
    <t>total</t>
  </si>
  <si>
    <t>obs</t>
  </si>
  <si>
    <t>Vigamento de Piso</t>
  </si>
  <si>
    <t>Vigamento Cobertura</t>
  </si>
  <si>
    <t>De acordo com a PRANCHA 11</t>
  </si>
  <si>
    <t>De acordo com a PRANCHA 12</t>
  </si>
  <si>
    <t>De acordo com a PRANCHAS 06, 07, 08 e 09</t>
  </si>
  <si>
    <t>De acordo com a PRANCHAS 03 e 04</t>
  </si>
  <si>
    <t>àrea</t>
  </si>
  <si>
    <t>Laje Térreo</t>
  </si>
  <si>
    <t>Laje Cobertura</t>
  </si>
  <si>
    <t>ARMAÇÃO DE PILAR OU VIGA DE ESTRUTURA DE CONCRETO ARMADO EMBUTIDA EM ALVENARIA DE VEDAÇÃO UTILIZANDO AÇO CA-50 DE 6,3 MM - MONTAGEM. AF_06/2022</t>
  </si>
  <si>
    <t>Reforço laje</t>
  </si>
  <si>
    <t>De acordo com a PRANCHAS 14 e 15</t>
  </si>
  <si>
    <t>PAREI AQUI</t>
  </si>
  <si>
    <t>BARRACÃO</t>
  </si>
  <si>
    <t>PARA REGULARIZAR O TERRENO</t>
  </si>
  <si>
    <t>Salas</t>
  </si>
  <si>
    <t>WCs</t>
  </si>
  <si>
    <t>WC</t>
  </si>
  <si>
    <t>WC's</t>
  </si>
  <si>
    <t>2X ÁREA DE 1/2 VEZ</t>
  </si>
  <si>
    <t>passarela</t>
  </si>
  <si>
    <t>310,75</t>
  </si>
  <si>
    <t>62,77</t>
  </si>
  <si>
    <t>87,76</t>
  </si>
  <si>
    <t>TAPUME COM TELHA METÁLICA. AF_03/2024</t>
  </si>
  <si>
    <t>80,22</t>
  </si>
  <si>
    <t>77,47</t>
  </si>
  <si>
    <t>20,49</t>
  </si>
  <si>
    <t>725,45</t>
  </si>
  <si>
    <t>69,35</t>
  </si>
  <si>
    <t>13,21</t>
  </si>
  <si>
    <t>13,23</t>
  </si>
  <si>
    <t>516,25</t>
  </si>
  <si>
    <t>276,02</t>
  </si>
  <si>
    <t>62,19</t>
  </si>
  <si>
    <t>125,83</t>
  </si>
  <si>
    <t>10,48</t>
  </si>
  <si>
    <t>8,81</t>
  </si>
  <si>
    <t>16,77</t>
  </si>
  <si>
    <t>199,89</t>
  </si>
  <si>
    <t>105022</t>
  </si>
  <si>
    <t>VERGA PRÉ-MOLDADA COM ATÉ 1,5 M DE VÃO, ESPESSURA DE *10* CM. AF_03/2024</t>
  </si>
  <si>
    <t>21,15</t>
  </si>
  <si>
    <t>81,47</t>
  </si>
  <si>
    <t>40,71</t>
  </si>
  <si>
    <t>Revestimento cerâmico para parede, 10 x 10 cm, Elizabeth, linha lux amarelo, aplicado com argamassa industrializada ac-ii, rejuntado, exclusive regularização de base ou emboço - Rev 04</t>
  </si>
  <si>
    <t>ORSE</t>
  </si>
  <si>
    <t>36,26</t>
  </si>
  <si>
    <t>LASTRO DE CONCRETO MAGRO, APLICADO EM PISOS, LAJES SOBRE SOLO OU RADIERS, ESPESSURA DE 5 CM. AF_01/2024</t>
  </si>
  <si>
    <t>CONTRAPISO EM ARGAMASSA TRAÇO 1:4 (CIMENTO E AREIA), PREPARO MECÂNICO COM BETONEIRA 400 L, APLICADO EM ÁREAS SECAS SOBRE LAJE, ADERIDO, ACABAMENTO NÃO REFORÇADO, ESPESSURA 3CM. AF_07/2021</t>
  </si>
  <si>
    <t>39,89</t>
  </si>
  <si>
    <t>104162</t>
  </si>
  <si>
    <t>PISO EM GRANILITE, MARMORITE OU GRANITINA EM AMBIENTES INTERNOS, COM ESPESSURA DE 8 MM, INCLUSO MISTURA EM BETONEIRA, COLOCAÇÃO DAS JUNTAS, APLICAÇÃO DO PISO, 4 POLIMENTOS COM POLITRIZ, ESTUCAMENTO, SELADOR E CERA. AF_06/2022</t>
  </si>
  <si>
    <t>91,48</t>
  </si>
  <si>
    <t>85,85</t>
  </si>
  <si>
    <t>50,68</t>
  </si>
  <si>
    <t>47,25</t>
  </si>
  <si>
    <t>23,90</t>
  </si>
  <si>
    <t>146,97</t>
  </si>
  <si>
    <t>847,27</t>
  </si>
  <si>
    <t>551,22</t>
  </si>
  <si>
    <t>237,58</t>
  </si>
  <si>
    <t>FUNDO SELADOR ACRÍLICO, APLICAÇÃO MANUAL EM PAREDE, UMA DEMÃO. AF_04/2023</t>
  </si>
  <si>
    <t>Luminária de embutir aberta para lâmpada fluorescente ou tubo led 2 x 18/20 w(tecnolux ref.fle-8157/232 ou similar), completa, com lampada tubo led</t>
  </si>
  <si>
    <t>93657</t>
  </si>
  <si>
    <t>DISJUNTOR MONOPOLAR TIPO DIN, CORRENTE NOMINAL DE 32A - FORNECIMENTO E INSTALAÇÃO. AF_10/2020</t>
  </si>
  <si>
    <t>17,19</t>
  </si>
  <si>
    <t>104677</t>
  </si>
  <si>
    <t>CONJUNTO DE PONTOS DE COLETA DE ESGOTO PARA BANHEIRO (RAMAL DE ESGOTO SANITÁRIO), EM PVC SÉRIE NORMAL, COM  TUBOS, CONEXÕES, RALOS, CAIXAS SIFONADAS, CORTES E FIXAÇÕES EM PRÉDIO COM PRUMADA DE DESCIDA DE ESGOTO FORA DO BANHEIRO. AF_05/2023_PA</t>
  </si>
  <si>
    <t>583,46</t>
  </si>
  <si>
    <t>104678</t>
  </si>
  <si>
    <t>CONJUNTO DE PONTOS DE COLETA DE ESGOTO PARA COZINHA (RAMAL DE ESGOTO SANITÁRIO), EM PVC SÉRIE NORMAL, COM  TUBOS, CONEXÕES, CORTES E FIXAÇÕES EM PRÉDIO. AF_05/2023_PA</t>
  </si>
  <si>
    <t>138,44</t>
  </si>
  <si>
    <t>104660</t>
  </si>
  <si>
    <t>CONJUNTO DE PONTOS HIDRÁULICOS DE ÁGUA FRIA PARA BANHEIRO (RAMAL/SUB-RAMAL E DISTRIBUIÇÃO) EM PVC, COM TUBOS, CONEXÕES, REGISTROS, CORTES E FIXAÇÕES EM PRÉDIO COM TUBULAÇÕES EMBUTIDAS COM RASGO. AF_05/2023</t>
  </si>
  <si>
    <t>1.283,19</t>
  </si>
  <si>
    <t>wc pne</t>
  </si>
  <si>
    <t>486,77</t>
  </si>
  <si>
    <t>93396</t>
  </si>
  <si>
    <t>BANCADA GRANITO CINZA,  50 X 60 CM, INCL. CUBA DE EMBUTIR OVAL LOUÇA BRANCA 35 X 50 CM, VÁLVULA METAL CROMADO, SIFÃO FLEXÍVEL PVC, ENGATE 30 CM FLEXÍVEL PLÁSTICO E TORNEIRA CROMADA DE MESA, PADRÃO POPULAR - FORNEC. E INSTALAÇÃO. AF_01/2020</t>
  </si>
  <si>
    <t>690,20</t>
  </si>
  <si>
    <t>94493</t>
  </si>
  <si>
    <t>REGISTRO DE ESFERA, PVC, SOLDÁVEL, COM VOLANTE, DN  60 MM - FORNECIMENTO E INSTALAÇÃO. AF_08/2021</t>
  </si>
  <si>
    <t>116,16</t>
  </si>
  <si>
    <t>89865</t>
  </si>
  <si>
    <t>TUBO, PVC, SOLDÁVEL, DN 25MM, INSTALADO EM DRENO DE AR-CONDICIONADO - FORNECIMENTO E INSTALAÇÃO. AF_08/2022</t>
  </si>
  <si>
    <t>97902</t>
  </si>
  <si>
    <t>CAIXA ENTERRADA HIDRÁULICA RETANGULAR EM ALVENARIA COM TIJOLOS CERÂMICOS MACIÇOS, DIMENSÕES INTERNAS: 0,6X0,6X0,6 M PARA REDE DE ESGOTO. AF_12/2020</t>
  </si>
  <si>
    <t>526,78</t>
  </si>
  <si>
    <t>86,66</t>
  </si>
  <si>
    <t>724,66</t>
  </si>
  <si>
    <t>101909</t>
  </si>
  <si>
    <t>EXTINTOR DE INCÊNDIO PORTÁTIL COM CARGA DE PQS DE 6 KG, CLASSE BC - FORNECIMENTO E INSTALAÇÃO. AF_10/2020_PE</t>
  </si>
  <si>
    <t>302,69</t>
  </si>
  <si>
    <t>101905</t>
  </si>
  <si>
    <t>EXTINTOR DE INCÊNDIO PORTÁTIL COM CARGA DE ÁGUA PRESSURIZADA DE 10 L, CLASSE A - FORNECIMENTO E INSTALAÇÃO. AF_10/2020_PE</t>
  </si>
  <si>
    <t>267,69</t>
  </si>
  <si>
    <t>100874</t>
  </si>
  <si>
    <t>PUXADOR PARA PCD, FIXADO NA PORTA - FORNECIMENTO E INSTALAÇÃO. AF_01/2020</t>
  </si>
  <si>
    <t>379,47</t>
  </si>
  <si>
    <t>C4621</t>
  </si>
  <si>
    <t>BATEDOR PARA PORTA EM CHAPA DE ALUMÍNIO TIPO XADREZ LAVRADA ESP. 3mm C/ FIXAÇÃO SOBRE MADEIRA LISA</t>
  </si>
  <si>
    <t>SEINFRA</t>
  </si>
  <si>
    <t>wc</t>
  </si>
  <si>
    <t xml:space="preserve">Salas </t>
  </si>
  <si>
    <t>àrea Descoberta</t>
  </si>
  <si>
    <t>100775</t>
  </si>
  <si>
    <t>ESTRUTURA TRELIÇADA DE COBERTURA, TIPO FINK, COM LIGAÇÕES SOLDADAS, INCLUSOS PERFIS METÁLICOS, CHAPAS METÁLICAS, MÃO DE OBRA E TRANSPORTE COM GUINDASTE - FORNECIMENTO E INSTALAÇÃO. AF_01/2020_PSA</t>
  </si>
  <si>
    <t>101161</t>
  </si>
  <si>
    <t>ALVENARIA DE VEDAÇÃO COM ELEMENTO VAZADO DE CONCRETO (COBOGÓ) DE 7X50X50CM E ARGAMASSA DE ASSENTAMENTO COM PREPARO EM BETONEIRA. AF_05/2020</t>
  </si>
  <si>
    <t>210,90</t>
  </si>
  <si>
    <t>Desconto da área de Cobogó</t>
  </si>
  <si>
    <t>5.512,00</t>
  </si>
  <si>
    <t>6.318,43</t>
  </si>
  <si>
    <t>LOCAL: DISTRITO FAZENDA NOVA- BREJO MADRE DE DEUS/PE.</t>
  </si>
  <si>
    <t>FABRICAÇÃO, MONTAGEM E DESMONTAGEM DE FÔRMA PARA SAPATA, EM MADEIRA SERRADA, E=25 MM, 4 UTILIZAÇÕES. AF_01/2024</t>
  </si>
  <si>
    <t>P26, P28, P30, P32, P33, P35, P37, P39, P40, P41, P42, P43, P44, P45, P46, P47, P48, P50, P52, P54, P55, P57, P59, P61, P34, P66, P68, P69, P71, P73</t>
  </si>
  <si>
    <t>P02, P04, P09, P10, P62, P65, P67, P70, P72, P74</t>
  </si>
  <si>
    <t>P01, P03, P05, P06, P07, P08, P11, P12, P13, P14, P15, P16, P17, P18, P19, P20, P21, P22, P23, P24, P25, P27, P29, P31, P34, P36, P38, P49, P51, P53, P56, P58, P60, P63, P75</t>
  </si>
  <si>
    <t>P78, P79, P85, P86</t>
  </si>
  <si>
    <t>P76, P77, P80, P81, P82, P83, P84, P87, P88</t>
  </si>
  <si>
    <t>S2=S4=S9=S10=S62=S63=S65=S67=S70=S72=S74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</si>
  <si>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</si>
  <si>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</si>
  <si>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</si>
  <si>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</si>
  <si>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</si>
  <si>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</si>
  <si>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</si>
  <si>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</si>
  <si>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</si>
  <si>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</si>
  <si>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</si>
  <si>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</si>
  <si>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</si>
  <si>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</si>
  <si>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</si>
  <si>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</si>
  <si>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</si>
  <si>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</si>
  <si>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</si>
  <si>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</si>
  <si>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</si>
  <si>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</si>
  <si>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</si>
  <si>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</si>
  <si>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</si>
  <si>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</si>
  <si>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V27</t>
  </si>
  <si>
    <t>V28</t>
  </si>
  <si>
    <t>V29</t>
  </si>
  <si>
    <t>V30</t>
  </si>
  <si>
    <t>V101</t>
  </si>
  <si>
    <t>V102</t>
  </si>
  <si>
    <t>V103</t>
  </si>
  <si>
    <t>V104</t>
  </si>
  <si>
    <t>V105</t>
  </si>
  <si>
    <t>V106</t>
  </si>
  <si>
    <t>V107</t>
  </si>
  <si>
    <t>V108</t>
  </si>
  <si>
    <t>V109</t>
  </si>
  <si>
    <t>V110</t>
  </si>
  <si>
    <t>V111</t>
  </si>
  <si>
    <t>V112</t>
  </si>
  <si>
    <t>V113</t>
  </si>
  <si>
    <t>V114</t>
  </si>
  <si>
    <t>V115</t>
  </si>
  <si>
    <t>V116</t>
  </si>
  <si>
    <t>V117</t>
  </si>
  <si>
    <t>V118</t>
  </si>
  <si>
    <t>V119</t>
  </si>
  <si>
    <t>V120</t>
  </si>
  <si>
    <t>V121</t>
  </si>
  <si>
    <t>V122</t>
  </si>
  <si>
    <t>V123</t>
  </si>
  <si>
    <t>V124</t>
  </si>
  <si>
    <t>V125</t>
  </si>
  <si>
    <t>V126</t>
  </si>
  <si>
    <t>V201</t>
  </si>
  <si>
    <t>V202</t>
  </si>
  <si>
    <t>V203</t>
  </si>
  <si>
    <t>COMPOSIÇÃO 09</t>
  </si>
  <si>
    <t>10445/SINAPI (FEVEREIRO/2024)</t>
  </si>
  <si>
    <t>CABO DE COBRE FLEXÍVEL ISOLADO, 2,5 MM², ANTI-CHAMA 450/750 V, PARA CIRCUITOS TERMINAIS - FORNECIMENTO E INSTALAÇÃO. AF_03/2023</t>
  </si>
  <si>
    <t>CAIXA RETANGULAR 4" X 2" MÉDIA (1,30 M DO PISO), PVC, INSTALADA EM PAREDE - FORNECIMENTO E INSTALAÇÃO. AF_03/2023</t>
  </si>
  <si>
    <t>CHUMBAMENTO LINEAR EM ALVENARIA PARA RAMAIS/DISTRIBUIÇÃO DE INSTALAÇÕES HIDRÁULICAS COM DIÂMETROS MENORES OU IGUAIS A 40 MM. AF_09/2023</t>
  </si>
  <si>
    <t>91845</t>
  </si>
  <si>
    <t>ELETRODUTO FLEXÍVEL CORRUGADO REFORÇADO, PVC, DN 25 MM (3/4"), PARA CIRCUITOS TERMINAIS, INSTALADO EM LAJE - FORNECIMENTO E INSTALAÇÃO. AF_03/2023</t>
  </si>
  <si>
    <t>91855</t>
  </si>
  <si>
    <t>ELETRODUTO FLEXÍVEL CORRUGADO REFORÇADO, PVC, DN 25 MM (3/4"), PARA CIRCUITOS TERMINAIS, INSTALADO EM PAREDE - FORNECIMENTO E INSTALAÇÃO. AF_03/2023</t>
  </si>
  <si>
    <t>QUEBRA EM ALVENARIA PARA INSTALAÇÃO DE CAIXA DE TOMADA (4X4 OU 4X2). AF_09/2023</t>
  </si>
  <si>
    <t>RASGO LINEAR MANUAL EM ALVENARIA, PARA ELETRODUTOS, DIÂMETROS MENORES OU IGUAIS A 40 MM. AF_09/2023</t>
  </si>
  <si>
    <t>92000</t>
  </si>
  <si>
    <t>TOMADA BAIXA DE EMBUTIR (1 MÓDULO), 2P+T 10 A, INCLUINDO SUPORTE E PLACA - FORNECIMENTO E INSTALAÇÃO. AF_03/2023</t>
  </si>
  <si>
    <t>09</t>
  </si>
  <si>
    <t>COMPOSIÇÃO 10</t>
  </si>
  <si>
    <t>104476/SINAPI (FEVEREIRO/2024)</t>
  </si>
  <si>
    <t>91997</t>
  </si>
  <si>
    <t>TOMADA MÉDIA DE EMBUTIR (1 MÓDULO), 2P+T 20 A, INCLUINDO SUPORTE E PLACA - FORNECIMENTO E INSTALAÇÃO. AF_03/2023</t>
  </si>
  <si>
    <t>COMPOSIÇÃO PARAMÉTRICA EXECUÇÃO DE ESTRUTURAS DE CONCRETO ARMADO, PARA EDIFICAÇÃO HABITACIONAL UNIFAMILIAR COM DOIS PAVIMENTOS (CASA EM EMPREENDIMENTOS), FCK = 25 MPA. AF_11/2022</t>
  </si>
  <si>
    <t xml:space="preserve">104485 /SINAPI (Fevereiro/2024) </t>
  </si>
  <si>
    <t>M³</t>
  </si>
  <si>
    <t xml:space="preserve"> 92419 </t>
  </si>
  <si>
    <t>MONTAGEM E DESMONTAGEM DE FÔRMA DE PILARES RETANGULARES E ESTRUTURAS SIMILARES, PÉ-DIREITO SIMPLES, EM CHAPA DE MADEIRA COMPENSADA RESINADA, 4 UTILIZAÇÕES. AF_09/2020</t>
  </si>
  <si>
    <t>m²</t>
  </si>
  <si>
    <t>2,4194</t>
  </si>
  <si>
    <t xml:space="preserve"> 92455 </t>
  </si>
  <si>
    <t>MONTAGEM E DESMONTAGEM DE FÔRMA DE VIGA, ESCORAMENTO COM GARFO DE MADEIRA, PÉ-DIREITO SIMPLES, EM CHAPA DE MADEIRA RESINADA, 4 UTILIZAÇÕES. AF_09/2020</t>
  </si>
  <si>
    <t>1,9434</t>
  </si>
  <si>
    <t xml:space="preserve"> 92514 </t>
  </si>
  <si>
    <t>MONTAGEM E DESMONTAGEM DE FÔRMA DE LAJE MACIÇA, PÉ-DIREITO SIMPLES, EM CHAPA DE MADEIRA COMPENSADA RESINADA, 4 UTILIZAÇÕES. AF_09/2020</t>
  </si>
  <si>
    <t>5,3541</t>
  </si>
  <si>
    <t xml:space="preserve"> 92759 </t>
  </si>
  <si>
    <t>4,0036</t>
  </si>
  <si>
    <t xml:space="preserve"> 92760 </t>
  </si>
  <si>
    <t>0,7707</t>
  </si>
  <si>
    <t xml:space="preserve"> 92761 </t>
  </si>
  <si>
    <t>0,4065</t>
  </si>
  <si>
    <t xml:space="preserve"> 92762 </t>
  </si>
  <si>
    <t>21,5201</t>
  </si>
  <si>
    <t xml:space="preserve"> 92763 </t>
  </si>
  <si>
    <t>10,5226</t>
  </si>
  <si>
    <t xml:space="preserve"> 92768 </t>
  </si>
  <si>
    <t>ARMAÇÃO DE LAJE DE ESTRUTURA CONVENCIONAL DE CONCRETO ARMADO UTILIZANDO AÇO CA-60 DE 5,0 MM - MONTAGEM. AF_06/2022</t>
  </si>
  <si>
    <t>5,4066</t>
  </si>
  <si>
    <t xml:space="preserve"> 92769 </t>
  </si>
  <si>
    <t>ARMAÇÃO DE LAJE DE ESTRUTURA CONVENCIONAL DE CONCRETO ARMADO UTILIZANDO AÇO CA-50 DE 6,3 MM - MONTAGEM. AF_06/2022</t>
  </si>
  <si>
    <t>9,3282</t>
  </si>
  <si>
    <t xml:space="preserve"> 92770 </t>
  </si>
  <si>
    <t>ARMAÇÃO DE LAJE DE ESTRUTURA CONVENCIONAL DE CONCRETO ARMADO UTILIZANDO AÇO CA-50 DE 8,0 MM - MONTAGEM. AF_06/2022</t>
  </si>
  <si>
    <t>6,6645</t>
  </si>
  <si>
    <t xml:space="preserve"> 95944 </t>
  </si>
  <si>
    <t>ARMAÇÃO DE ESCADA, DE UMA ESTRUTURA CONVENCIONAL DE CONCRETO ARMADO UTILIZANDO AÇO CA-50 DE 6,3 MM - MONTAGEM. AF_11/2020</t>
  </si>
  <si>
    <t>2,034</t>
  </si>
  <si>
    <t xml:space="preserve"> 95945 </t>
  </si>
  <si>
    <t>ARMAÇÃO DE ESCADA, DE UMA ESTRUTURA CONVENCIONAL DE CONCRETO ARMADO UTILIZANDO AÇO CA-50 DE 8,0 MM - MONTAGEM. AF_11/2020</t>
  </si>
  <si>
    <t>5,1878</t>
  </si>
  <si>
    <t xml:space="preserve"> 95946 </t>
  </si>
  <si>
    <t>ARMAÇÃO DE ESCADA, DE UMA ESTRUTURA CONVENCIONAL DE CONCRETO ARMADO UTILIZANDO AÇO CA-50 DE 10,0 MM - MONTAGEM. AF_11/2020</t>
  </si>
  <si>
    <t>0,2722</t>
  </si>
  <si>
    <t xml:space="preserve"> 96542</t>
  </si>
  <si>
    <t>FABRICAÇÃO, MONTAGEM E DESMONTAGEM DE FÔRMA PARA VIGA BALDRAME, EM CHAPA DE MADEIRA COMPENSADA RESINADA, E=17 MM, 4 UTILIZAÇÕES. AF_01/2024</t>
  </si>
  <si>
    <t>3,3316</t>
  </si>
  <si>
    <t xml:space="preserve"> 96543 </t>
  </si>
  <si>
    <t>ARMAÇÃO DE BLOCO UTILIZANDO AÇO CA-60 DE 5 MM - MONTAGEM. AF_01/2024</t>
  </si>
  <si>
    <t>0,1947</t>
  </si>
  <si>
    <t xml:space="preserve"> 96544 </t>
  </si>
  <si>
    <t>ARMAÇÃO DE BLOCO UTILIZANDO AÇO CA-50 DE 6,3 MM - MONTAGEM. AF_01/2024</t>
  </si>
  <si>
    <t>0,336</t>
  </si>
  <si>
    <t xml:space="preserve"> 96545 </t>
  </si>
  <si>
    <t>ARMAÇÃO DE BLOCO UTILIZANDO AÇO CA-50 DE 8 MM - MONTAGEM. AF_01/2024</t>
  </si>
  <si>
    <t>0,1772</t>
  </si>
  <si>
    <t xml:space="preserve"> 96546 </t>
  </si>
  <si>
    <t>ARMAÇÃO DE BLOCO UTILIZANDO AÇO CA-50 DE 10 MM - MONTAGEM. AF_01/2024</t>
  </si>
  <si>
    <t>2,6922</t>
  </si>
  <si>
    <t xml:space="preserve"> 96557 </t>
  </si>
  <si>
    <t>CONCRETAGEM DE BLOCO DE COROAMENTO OU VIGA BALDRAME, FCK 30 MPA, COM USO DE BOMBA - LANÇAMENTO, ADENSAMENTO E ACABAMENTO. AF_01/2024</t>
  </si>
  <si>
    <t>m³</t>
  </si>
  <si>
    <t>0,0406</t>
  </si>
  <si>
    <t xml:space="preserve"> 102010 </t>
  </si>
  <si>
    <t>MONTAGEM E DESMONTAGEM DE FÔRMA PARA ESCADAS, COM 2 LANCES EM "L" E LAJE PLANA, EM CHAPA DE MADEIRA COMPENSADA RESINADA, 4 UTILIZAÇÕES. AF_11/2020</t>
  </si>
  <si>
    <t>1,1358</t>
  </si>
  <si>
    <t xml:space="preserve"> 103672 </t>
  </si>
  <si>
    <t>CONCRETAGEM DE PILARES, FCK = 25 MPA, COM USO DE BOMBA - LANÇAMENTO, ADENSAMENTO E ACABAMENTO. AF_02/2022_PS</t>
  </si>
  <si>
    <t>0,2491</t>
  </si>
  <si>
    <t xml:space="preserve"> 103675 </t>
  </si>
  <si>
    <t>CONCRETAGEM DE VIGAS E LAJES, FCK=25 MPA, PARA LAJES MACIÇAS OU NERVURADAS COM USO DE BOMBA - LANÇAMENTO, ADENSAMENTO E ACABAMENTO. AF_02/2022_PS</t>
  </si>
  <si>
    <t>0,5627</t>
  </si>
  <si>
    <t xml:space="preserve"> 103686 </t>
  </si>
  <si>
    <t>CONCRETAGEM DE ESCADAS, FCK=25 MPA, COM USO DE BOMBA - LANÇAMENTO, ADENSAMENTO E ACABAMENTO. AF_02/2022_PS</t>
  </si>
  <si>
    <t>0,1477</t>
  </si>
  <si>
    <t xml:space="preserve"> 104920 </t>
  </si>
  <si>
    <t>ARMAÇÃO DE BLOCO, SAPATA ISOLADA, VIGA BALDRAME E SAPATA CORRIDA UTILIZANDO AÇO CA-50 DE 12,5 MM - MONTAGEM. AF_01/2024</t>
  </si>
  <si>
    <t>1,4762</t>
  </si>
  <si>
    <t>14.0</t>
  </si>
  <si>
    <t>FOSSA E FILTRO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</si>
  <si>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</si>
  <si>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</si>
  <si>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</si>
  <si>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</si>
  <si>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</si>
  <si>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</si>
  <si>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</si>
  <si>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</si>
  <si>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</si>
  <si>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</si>
  <si>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</si>
  <si>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ESCAVAÇÃO MANUAL DE VALA COM PROFUNDIDADE MENOR OU IGUAL A 1,30 M. AF_02/2021</t>
  </si>
  <si>
    <t>LASTRO DE CONCRETO MAGRO, APLICADO EM BLOCOS DE COROAMENTO OU SAPATAS, ESPESSURA DE 5 CM. AF_08/2017</t>
  </si>
  <si>
    <t>IMPERMEABILIZAÇÃO DE PISO COM ARGAMASSA DE CIMENTO E AREIA, COM ADITIVO IMPERMEABILIZANTE, E = 2CM.( ORIGEM SINAPI 98560)</t>
  </si>
  <si>
    <t>ALVENARIA EM TIJOLO CERAMICO FURADO 9X19X19CM, 1 VEZ (ESPESSURA 19 CM), ASSENTADO EM ARGAMASSA TRACO 1:4 (CIMENTO E AREIA MEDIA NAO PENEIRADA), PREPARO MANUAL, JUNTA1 CM</t>
  </si>
  <si>
    <t>CHAPISCO APLICADO EM ALVENARIA (COM PRESENÇA DE VÃOS) E ESTRUTURAS DE CONCRETO DE FACHADA, COM COLHER DE PEDREIRO.  ARGAMASSA TRAÇO 1:3 COM PREPARO MANUAL. AF_10/2022</t>
  </si>
  <si>
    <t xml:space="preserve"> 87904 </t>
  </si>
  <si>
    <t>IMPERMEABILIZAÇÃO DE PAREDES COM ARGAMASSA DE CIMENTO E AREIA, COM ADITIVO IMPERMEABILIZANTE, E = 2CM. (ORIGEM SINAPI 98561)</t>
  </si>
  <si>
    <t>LAJE PRÉ-MOLDADA UNIDIRECIONAL, BIAPOIADA, PARA FORRO, ENCHIMENTO EM CERÂMICA, VIGOTA CONVENCIONAL, ALTURA TOTAL DA LAJE (ENCHIMENTO+CAPA) = (8+3). AF_11/2020</t>
  </si>
  <si>
    <t>TUBO PVC, SERIE NORMAL, ESGOTO PREDIAL, DN 100 MM, FORNECIDO E INSTALADO EM RAMAL DE DESCARGA OU RAMAL DE ESGOTO SANITÁRIO. AF_08/2022</t>
  </si>
  <si>
    <t>COMPOSIÇÃO PARAMÉTRICA PARA EXECUÇÃO DE ESTRUTURAS DE CONCRETO ARMADO, PARA EDIFICAÇÃO HABITACIONAL UNIFAMILIAR TÉRREA (CASA EM EMPREENDIMENTOS), FCK = 25 MPA. AF_11/2022</t>
  </si>
  <si>
    <t>Fossa</t>
  </si>
  <si>
    <t>Filtro</t>
  </si>
  <si>
    <t>sapatas fossa e filtro</t>
  </si>
  <si>
    <t>Baldrame fossa e filtro</t>
  </si>
  <si>
    <t>Fossa piso</t>
  </si>
  <si>
    <t>Filtro piso</t>
  </si>
  <si>
    <t>M²</t>
  </si>
  <si>
    <t>Deduções</t>
  </si>
  <si>
    <t>pilares filtro</t>
  </si>
  <si>
    <t>pilares fossa</t>
  </si>
  <si>
    <t>TUBO PVC, SERIE NORMAL, ESGOTO PREDIAL, DN 150 MM, FORNECIDO E INSTALADO EM SUBCOLETOR AÉREO DE ESGOTO SANITÁRIO. AF_08/2022</t>
  </si>
  <si>
    <t>Baldrames</t>
  </si>
  <si>
    <t>Viga Superior</t>
  </si>
  <si>
    <t>PEDRA BRITADA N. 3 (38 A 50 MM) POSTO PEDREIRA/FORNECEDOR, SEM FRETE</t>
  </si>
  <si>
    <t>IMPERMEABILIZAÇÃO DE PISO COM ARGAMASSA DE CIMENTO E AREIA, COM ADITIVO IMPERMEABILIZANTE, E = 2CM. AF_06/2018</t>
  </si>
  <si>
    <t>87298</t>
  </si>
  <si>
    <t>ARGAMASSA TRAÇO 1:3 (EM VOLUME DE CIMENTO E AREIA MÉDIA ÚMIDA) PARA CONTRAPISO, PREPARO MECÂNICO COM BETONEIRA 400 L. AF_08/2019</t>
  </si>
  <si>
    <t>123</t>
  </si>
  <si>
    <t xml:space="preserve">ADITIVO IMPERMEABILIZANTE DE PEGA NORMAL PARA ARGAMASSAS E CONCRETOS SEM ARMACAO, LIQUIDO E ISENTO DE CLORETOS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</si>
  <si>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     </t>
  </si>
  <si>
    <t>98560/SINAPI (AGOSTO/2023)</t>
  </si>
  <si>
    <t>IMPERMEABILIZAÇÃO DE PAREDES COM ARGAMASSA DE CIMENTO E AREIA, COM ADITIVO IMPERMEABILIZANTE, E = 2CM. AF_06/2018</t>
  </si>
  <si>
    <t>98561/SINAPI (AGOSTO/2023)</t>
  </si>
  <si>
    <t>87286</t>
  </si>
  <si>
    <t>ARGAMASSA TRAÇO 1:1:6 (EM VOLUME DE CIMENTO, CAL E AREIA MÉDIA ÚMIDA) PARA EMBOÇO/MASSA ÚNICA/ASSENTAMENTO DE ALVENARIA DE VEDAÇÃO, PREPARO MECÂNICO COM BETONEIRA 400 L. AF_08/2019</t>
  </si>
  <si>
    <t>Piso</t>
  </si>
  <si>
    <t>Janelas</t>
  </si>
  <si>
    <t>Portas</t>
  </si>
  <si>
    <t>Paredes existentes do prédio antigo</t>
  </si>
  <si>
    <t>97625</t>
  </si>
  <si>
    <t>DEMOLIÇÃO DE ALVENARIA PARA QUALQUER TIPO DE BLOCO, DE FORMA MECANIZADA, SEM REAPROVEITAMENTO. AF_09/2023</t>
  </si>
  <si>
    <t>54,68</t>
  </si>
  <si>
    <t>Circulação externa</t>
  </si>
  <si>
    <t>6 Salas</t>
  </si>
  <si>
    <t>Circulação principal</t>
  </si>
  <si>
    <t>VIDE PRANCHA DE ESTRUTURA METÁLICA</t>
  </si>
  <si>
    <t>Parede sacando para fora entre as janelas das salas</t>
  </si>
  <si>
    <t>100665</t>
  </si>
  <si>
    <t>JANELA DE MADEIRA - CEDRINHO/ANGELIM OU EQUIVALENTE DA REGIÃO - DE ABRIR COM 4 FOLHAS (2 VENEZIANAS E 2 GUILHOTINAS PARA VIDRO), COM BATENTE, ALIZAR E FERRAGENS. EXCLUSIVE VIDROS, ACABAMENTO E CONTRAMARCO. FORNECIMENTO E INSTALAÇÃO. AF_12/2019</t>
  </si>
  <si>
    <t>1.192,26</t>
  </si>
  <si>
    <t xml:space="preserve">Janelas </t>
  </si>
  <si>
    <t>02</t>
  </si>
  <si>
    <t>06</t>
  </si>
  <si>
    <t>07</t>
  </si>
  <si>
    <t>08</t>
  </si>
  <si>
    <t>14.</t>
  </si>
  <si>
    <t>19.073,38</t>
  </si>
  <si>
    <t>22.082,95</t>
  </si>
  <si>
    <r>
      <t xml:space="preserve">FONTES DE PREÇOS: SINAPI MAIO/2024, ORSE MAIO/2024, SEINFRA 028 E COMPOSIÇÕES - </t>
    </r>
    <r>
      <rPr>
        <b/>
        <u/>
        <sz val="10"/>
        <rFont val="Calibri"/>
        <family val="2"/>
      </rPr>
      <t>SEM</t>
    </r>
    <r>
      <rPr>
        <b/>
        <sz val="10"/>
        <rFont val="Calibri"/>
        <family val="2"/>
      </rPr>
      <t xml:space="preserve"> DESONERAÇÃO - BDI ADOTADO: 20,50%</t>
    </r>
  </si>
  <si>
    <t>1.4</t>
  </si>
  <si>
    <t>4.3</t>
  </si>
  <si>
    <t>4.4</t>
  </si>
  <si>
    <t>4.5</t>
  </si>
  <si>
    <t>4.6</t>
  </si>
  <si>
    <t>4.7</t>
  </si>
  <si>
    <t>5.5</t>
  </si>
  <si>
    <t>5.6</t>
  </si>
  <si>
    <t>5.7</t>
  </si>
  <si>
    <t>5.8</t>
  </si>
  <si>
    <t>5.9</t>
  </si>
  <si>
    <t>5.10</t>
  </si>
  <si>
    <t>6.5</t>
  </si>
  <si>
    <t>8.6</t>
  </si>
  <si>
    <t>9.2</t>
  </si>
  <si>
    <t>9.3</t>
  </si>
  <si>
    <t>9.4</t>
  </si>
  <si>
    <t>9.5</t>
  </si>
  <si>
    <t>9.6</t>
  </si>
  <si>
    <t>12.9</t>
  </si>
  <si>
    <t>12.10</t>
  </si>
  <si>
    <t>12.11</t>
  </si>
  <si>
    <t>12.12</t>
  </si>
  <si>
    <t xml:space="preserve">PLACA DE INAUGURACAO METALICA, *40* CM X *60*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</si>
  <si>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753,75</t>
  </si>
  <si>
    <t>13.3</t>
  </si>
  <si>
    <t>C1</t>
  </si>
  <si>
    <t>C2</t>
  </si>
  <si>
    <t>A1</t>
  </si>
  <si>
    <t>A2</t>
  </si>
  <si>
    <t>Menos Volume de Escavação do LOTE 01</t>
  </si>
  <si>
    <t>Voume Total</t>
  </si>
  <si>
    <t>Menos Volume de aterro no LOTE 01</t>
  </si>
  <si>
    <t>Menos Volume de reaterro no LOTE 01</t>
  </si>
  <si>
    <t>Menos Volume de lastro no LOTE 01</t>
  </si>
  <si>
    <t>Menos área de fôrmas no LOTE 01</t>
  </si>
  <si>
    <t>Menos peso do aço no LOTE 01</t>
  </si>
  <si>
    <t>Menos Volume do concreto no LOTE 01</t>
  </si>
  <si>
    <t>Menos Volume de concreto no LOTE 01</t>
  </si>
  <si>
    <t>Menos área da laje no LOTE 01</t>
  </si>
  <si>
    <t>Menos extensão das vergas no LOTE 01</t>
  </si>
  <si>
    <t>Menos área de alvenaria no LOTE 01</t>
  </si>
  <si>
    <t>Lajes</t>
  </si>
  <si>
    <t>Menos área de revestimento no LOTE 01</t>
  </si>
  <si>
    <t>Menos área de cobogó no LOTE 01</t>
  </si>
  <si>
    <t>Menos área de piso no LOTE 01</t>
  </si>
  <si>
    <t>Menos área de Contrapiso no LOTE 01</t>
  </si>
  <si>
    <t>Menos área de trama no LOTE 01</t>
  </si>
  <si>
    <t>Menos área de estrutura no LOTE 01</t>
  </si>
  <si>
    <t>Menos área de telhamento no LOTE 01</t>
  </si>
  <si>
    <t>Menos área de forro no LOTE 01</t>
  </si>
  <si>
    <t>Menos área de janela no LOTE 01</t>
  </si>
  <si>
    <t>Menos pontos no LOTE 01</t>
  </si>
  <si>
    <t>Menos Disjuntores no LOTE 01</t>
  </si>
  <si>
    <t>DATA BASE: AGOSTO/2024</t>
  </si>
  <si>
    <t>OBRA: AMPLIAÇÃO DA ESCOLA MUNICIPAL EPAMINONDAS MENDONÇA - LOTE 02</t>
  </si>
  <si>
    <t>LOTE 02 - BLOCO DE SALAS, BANHEIROS E PÁTIO EXTERNO</t>
  </si>
  <si>
    <t>COMPOSIÇÃO DE ENCARGOS SOCIAIS SOBRE A MÃO DE OBRA</t>
  </si>
  <si>
    <t>ESTADO DE PERNAMBUCO - SEM DESONERAÇÃO</t>
  </si>
  <si>
    <t>COM DESONERAÇÃO</t>
  </si>
  <si>
    <t>SEM DESONERAÇÃO</t>
  </si>
  <si>
    <t>HORISTA (%)</t>
  </si>
  <si>
    <t>MENSALISTA (%)</t>
  </si>
  <si>
    <t>GRUPO A</t>
  </si>
  <si>
    <t>INSS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</si>
  <si>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</si>
  <si>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</si>
  <si>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</si>
  <si>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</si>
  <si>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</si>
  <si>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</si>
  <si>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</si>
  <si>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</si>
  <si>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</si>
  <si>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</si>
  <si>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</si>
  <si>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</si>
  <si>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</si>
  <si>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</si>
  <si>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</si>
  <si>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</si>
  <si>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GRUPO B</t>
  </si>
  <si>
    <t>B1</t>
  </si>
  <si>
    <t>Repouso Semanal Remunerado</t>
  </si>
  <si>
    <t>B2</t>
  </si>
  <si>
    <t>Feriados</t>
  </si>
  <si>
    <t>B3</t>
  </si>
  <si>
    <t>Auxílio - 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</si>
  <si>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</si>
  <si>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</si>
  <si>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</si>
  <si>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</si>
  <si>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</si>
  <si>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</si>
  <si>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</si>
  <si>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</si>
  <si>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</si>
  <si>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</si>
  <si>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</si>
  <si>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</si>
  <si>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</si>
  <si>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</si>
  <si>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GRUPO C</t>
  </si>
  <si>
    <t>Aviso Prévio Indenizado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</si>
  <si>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</si>
  <si>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</si>
  <si>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</si>
  <si>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</si>
  <si>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</si>
  <si>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</si>
  <si>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</si>
  <si>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</si>
  <si>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GRUPO D</t>
  </si>
  <si>
    <t>D1</t>
  </si>
  <si>
    <t>Reincidência de Grupo A sobre Grupo B</t>
  </si>
  <si>
    <t>D2</t>
  </si>
  <si>
    <t>Reincidência de Grupo A sobre Aviso Prévio Trabalhado 
e Reincidência do FGTS sobre Aviso Prévio Indenizado</t>
  </si>
  <si>
    <t>D</t>
  </si>
  <si>
    <t>TOTAL GERAL (A+B+C+D)</t>
  </si>
  <si>
    <t>ITEM 02 - BLOCO DE SALAS, BANHEIROS E PÁTIO EXTERNO</t>
  </si>
  <si>
    <t>OBRA: AMPLIAÇÃO DA ESCOLA MUNICIPAL EPAMINONDAS MENDONÇA - ITEM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</si>
</sst>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 &quot;R$&quot;\ * #,##0.00_ ;_ &quot;R$&quot;\ * \-#,##0.00_ ;_ &quot;R$&quot;\ * &quot;-&quot;??_ ;_ @_ "/>
    <numFmt numFmtId="167" formatCode="_ * #,##0.00_ ;_ * \-#,##0.00_ ;_ * &quot;-&quot;??_ ;_ @_ "/>
    <numFmt numFmtId="168" formatCode="0.0%"/>
    <numFmt numFmtId="169" formatCode="0.000"/>
    <numFmt numFmtId="170" formatCode="_(* #,##0.00_);_(* \(#,##0.00\);_(* \-??_);_(@_)"/>
    <numFmt numFmtId="171" formatCode="0000"/>
    <numFmt numFmtId="172" formatCode="&quot;R$&quot;\ #,##0.00"/>
    <numFmt numFmtId="173" formatCode="0.0000"/>
    <numFmt numFmtId="174" formatCode="0.00000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8"/>
      <color rgb="FFFF0000"/>
      <name val="Calibri"/>
      <family val="2"/>
    </font>
    <font>
      <b/>
      <sz val="8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u/>
      <sz val="8"/>
      <name val="Calibri"/>
      <family val="2"/>
    </font>
    <font>
      <b/>
      <u/>
      <sz val="10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4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i/>
      <sz val="8"/>
      <color rgb="FF002060"/>
      <name val="Calibri"/>
      <family val="2"/>
    </font>
    <font>
      <i/>
      <sz val="8"/>
      <name val="Calibri"/>
      <family val="2"/>
    </font>
    <font>
      <b/>
      <sz val="5"/>
      <name val="Calibri"/>
      <family val="2"/>
    </font>
    <font>
      <sz val="5"/>
      <name val="Calibri"/>
      <family val="2"/>
    </font>
    <font>
      <b/>
      <sz val="5"/>
      <color rgb="FFFF0000"/>
      <name val="Calibri"/>
      <family val="2"/>
    </font>
    <font>
      <b/>
      <sz val="9"/>
      <name val="Calibri"/>
      <family val="2"/>
    </font>
    <font>
      <b/>
      <i/>
      <sz val="8"/>
      <name val="Calibri"/>
      <family val="2"/>
    </font>
    <font>
      <b/>
      <i/>
      <sz val="9"/>
      <name val="Calibri"/>
      <family val="2"/>
    </font>
    <font>
      <sz val="7"/>
      <color theme="0" tint="-0.14999847407452621"/>
      <name val="Calibri"/>
      <family val="2"/>
    </font>
    <font>
      <b/>
      <sz val="8"/>
      <color rgb="FF002060"/>
      <name val="Calibri"/>
      <family val="2"/>
    </font>
    <font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color rgb="FFFF0000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4"/>
      <name val="Arial Narrow"/>
      <family val="2"/>
    </font>
    <font>
      <sz val="12"/>
      <name val="Arial Narrow"/>
      <family val="2"/>
    </font>
    <font>
      <sz val="12"/>
      <color rgb="FFFF0000"/>
      <name val="Arial Narrow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8"/>
      <name val="Arial Narrow"/>
      <family val="2"/>
    </font>
    <font>
      <b/>
      <sz val="13"/>
      <name val="Arial Narrow"/>
      <family val="2"/>
    </font>
    <font>
      <sz val="9"/>
      <color rgb="FFFF000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DAEEF3"/>
        <bgColor rgb="FFDAEEF3"/>
      </patternFill>
    </fill>
    <fill>
      <patternFill patternType="solid">
        <fgColor rgb="FFEAF1DD"/>
        <bgColor rgb="FFEAF1DD"/>
      </patternFill>
    </fill>
    <fill>
      <patternFill patternType="solid">
        <fgColor rgb="FFB6DDE8"/>
        <bgColor rgb="FFB6DDE8"/>
      </patternFill>
    </fill>
    <fill>
      <patternFill patternType="solid">
        <fgColor rgb="FFD6E3BC"/>
        <bgColor rgb="FFD6E3BC"/>
      </patternFill>
    </fill>
    <fill>
      <patternFill patternType="solid">
        <fgColor rgb="FFD8D8D8"/>
        <bgColor rgb="FFD8D8D8"/>
      </patternFill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0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165" fontId="2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2" fillId="0" borderId="0" applyFill="0" applyBorder="0" applyAlignment="0" applyProtection="0"/>
    <xf numFmtId="165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167" fontId="1" fillId="0" borderId="0" applyFont="0" applyFill="0" applyBorder="0" applyAlignment="0" applyProtection="0"/>
    <xf numFmtId="0" fontId="1" fillId="0" borderId="0"/>
    <xf numFmtId="170" fontId="2" fillId="0" borderId="0" applyFill="0" applyBorder="0" applyAlignment="0" applyProtection="0"/>
    <xf numFmtId="0" fontId="13" fillId="0" borderId="0"/>
    <xf numFmtId="170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2" fillId="0" borderId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</cellStyleXfs>
  <cellXfs count="478">
    <xf numFmtId="0" fontId="0" fillId="0" borderId="0" xfId="0"/>
    <xf numFmtId="0" fontId="8" fillId="0" borderId="0" xfId="0" applyFont="1"/>
    <xf numFmtId="171" fontId="11" fillId="9" borderId="1" xfId="9" applyNumberFormat="1" applyFont="1" applyFill="1" applyBorder="1" applyAlignment="1">
      <alignment horizontal="justify" vertical="distributed" wrapText="1"/>
    </xf>
    <xf numFmtId="165" fontId="10" fillId="9" borderId="1" xfId="9" applyFont="1" applyFill="1" applyBorder="1" applyAlignment="1">
      <alignment horizontal="justify" vertical="distributed" wrapText="1"/>
    </xf>
    <xf numFmtId="165" fontId="10" fillId="9" borderId="38" xfId="9" applyFont="1" applyFill="1" applyBorder="1" applyAlignment="1">
      <alignment horizontal="justify" vertical="distributed" wrapText="1"/>
    </xf>
    <xf numFmtId="0" fontId="11" fillId="0" borderId="0" xfId="0" applyFont="1"/>
    <xf numFmtId="0" fontId="18" fillId="0" borderId="0" xfId="2" applyFont="1" applyAlignment="1">
      <alignment horizontal="center" vertical="top"/>
    </xf>
    <xf numFmtId="0" fontId="9" fillId="0" borderId="0" xfId="2" applyFont="1" applyAlignment="1">
      <alignment horizontal="right" vertical="justify"/>
    </xf>
    <xf numFmtId="0" fontId="9" fillId="0" borderId="0" xfId="2" applyFont="1" applyAlignment="1">
      <alignment horizontal="center"/>
    </xf>
    <xf numFmtId="4" fontId="9" fillId="0" borderId="0" xfId="2" applyNumberFormat="1" applyFont="1" applyAlignment="1">
      <alignment horizontal="center"/>
    </xf>
    <xf numFmtId="0" fontId="9" fillId="0" borderId="0" xfId="0" applyFont="1"/>
    <xf numFmtId="0" fontId="19" fillId="0" borderId="6" xfId="2" applyFont="1" applyBorder="1" applyAlignment="1">
      <alignment horizontal="center"/>
    </xf>
    <xf numFmtId="0" fontId="9" fillId="0" borderId="6" xfId="0" applyFont="1" applyBorder="1"/>
    <xf numFmtId="4" fontId="9" fillId="0" borderId="6" xfId="0" applyNumberFormat="1" applyFont="1" applyBorder="1"/>
    <xf numFmtId="0" fontId="20" fillId="0" borderId="0" xfId="2" applyFont="1" applyAlignment="1">
      <alignment horizontal="center"/>
    </xf>
    <xf numFmtId="0" fontId="20" fillId="0" borderId="0" xfId="2" applyFont="1" applyAlignment="1">
      <alignment horizontal="left"/>
    </xf>
    <xf numFmtId="0" fontId="20" fillId="0" borderId="0" xfId="2" applyFont="1" applyAlignment="1">
      <alignment horizontal="left" wrapText="1"/>
    </xf>
    <xf numFmtId="4" fontId="20" fillId="0" borderId="0" xfId="2" applyNumberFormat="1" applyFont="1" applyAlignment="1">
      <alignment horizontal="left" wrapText="1"/>
    </xf>
    <xf numFmtId="0" fontId="21" fillId="0" borderId="0" xfId="0" applyFont="1"/>
    <xf numFmtId="4" fontId="18" fillId="2" borderId="1" xfId="2" applyNumberFormat="1" applyFont="1" applyFill="1" applyBorder="1" applyAlignment="1">
      <alignment horizontal="center"/>
    </xf>
    <xf numFmtId="4" fontId="20" fillId="0" borderId="0" xfId="2" applyNumberFormat="1" applyFont="1" applyAlignment="1">
      <alignment horizontal="center"/>
    </xf>
    <xf numFmtId="10" fontId="18" fillId="2" borderId="1" xfId="1" applyNumberFormat="1" applyFont="1" applyFill="1" applyBorder="1" applyAlignment="1">
      <alignment horizontal="center"/>
    </xf>
    <xf numFmtId="0" fontId="20" fillId="0" borderId="0" xfId="2" applyFont="1" applyAlignment="1">
      <alignment horizontal="left" vertical="top"/>
    </xf>
    <xf numFmtId="0" fontId="18" fillId="2" borderId="0" xfId="0" applyFont="1" applyFill="1" applyAlignment="1">
      <alignment horizontal="center" vertical="center"/>
    </xf>
    <xf numFmtId="0" fontId="18" fillId="0" borderId="31" xfId="2" applyFont="1" applyBorder="1" applyAlignment="1">
      <alignment horizontal="center" vertical="top"/>
    </xf>
    <xf numFmtId="0" fontId="18" fillId="0" borderId="32" xfId="2" applyFont="1" applyBorder="1" applyAlignment="1">
      <alignment horizontal="center" vertical="justify"/>
    </xf>
    <xf numFmtId="0" fontId="18" fillId="0" borderId="32" xfId="2" applyFont="1" applyBorder="1" applyAlignment="1">
      <alignment horizontal="center"/>
    </xf>
    <xf numFmtId="4" fontId="9" fillId="0" borderId="33" xfId="2" applyNumberFormat="1" applyFont="1" applyBorder="1" applyAlignment="1">
      <alignment horizontal="center"/>
    </xf>
    <xf numFmtId="4" fontId="9" fillId="0" borderId="31" xfId="2" applyNumberFormat="1" applyFont="1" applyBorder="1" applyAlignment="1">
      <alignment horizontal="center"/>
    </xf>
    <xf numFmtId="4" fontId="9" fillId="0" borderId="32" xfId="2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9" fillId="2" borderId="0" xfId="0" applyFont="1" applyFill="1"/>
    <xf numFmtId="0" fontId="18" fillId="0" borderId="29" xfId="2" applyFont="1" applyBorder="1" applyAlignment="1">
      <alignment horizontal="center" vertical="top"/>
    </xf>
    <xf numFmtId="0" fontId="18" fillId="0" borderId="1" xfId="2" applyFont="1" applyBorder="1" applyAlignment="1">
      <alignment horizontal="center"/>
    </xf>
    <xf numFmtId="4" fontId="9" fillId="0" borderId="30" xfId="2" applyNumberFormat="1" applyFont="1" applyBorder="1" applyAlignment="1">
      <alignment horizontal="center"/>
    </xf>
    <xf numFmtId="4" fontId="9" fillId="0" borderId="29" xfId="2" applyNumberFormat="1" applyFont="1" applyBorder="1" applyAlignment="1">
      <alignment horizontal="center"/>
    </xf>
    <xf numFmtId="4" fontId="9" fillId="0" borderId="1" xfId="2" applyNumberFormat="1" applyFont="1" applyBorder="1" applyAlignment="1">
      <alignment horizontal="center"/>
    </xf>
    <xf numFmtId="0" fontId="17" fillId="0" borderId="0" xfId="0" applyFont="1"/>
    <xf numFmtId="4" fontId="17" fillId="2" borderId="29" xfId="2" applyNumberFormat="1" applyFont="1" applyFill="1" applyBorder="1" applyAlignment="1">
      <alignment horizontal="center"/>
    </xf>
    <xf numFmtId="0" fontId="17" fillId="2" borderId="0" xfId="0" applyFont="1" applyFill="1"/>
    <xf numFmtId="4" fontId="17" fillId="0" borderId="0" xfId="0" applyNumberFormat="1" applyFont="1"/>
    <xf numFmtId="4" fontId="24" fillId="8" borderId="1" xfId="2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center"/>
    </xf>
    <xf numFmtId="4" fontId="18" fillId="0" borderId="0" xfId="2" applyNumberFormat="1" applyFont="1" applyAlignment="1">
      <alignment horizontal="center"/>
    </xf>
    <xf numFmtId="0" fontId="9" fillId="0" borderId="1" xfId="2" applyFont="1" applyBorder="1" applyAlignment="1">
      <alignment horizontal="center"/>
    </xf>
    <xf numFmtId="0" fontId="18" fillId="0" borderId="1" xfId="2" applyFont="1" applyBorder="1" applyAlignment="1">
      <alignment horizontal="right" vertical="justify"/>
    </xf>
    <xf numFmtId="0" fontId="18" fillId="0" borderId="0" xfId="0" applyFont="1"/>
    <xf numFmtId="0" fontId="28" fillId="0" borderId="0" xfId="0" applyFont="1"/>
    <xf numFmtId="4" fontId="18" fillId="2" borderId="12" xfId="2" applyNumberFormat="1" applyFont="1" applyFill="1" applyBorder="1" applyAlignment="1">
      <alignment horizontal="center"/>
    </xf>
    <xf numFmtId="0" fontId="29" fillId="5" borderId="0" xfId="0" applyFont="1" applyFill="1" applyAlignment="1">
      <alignment horizontal="center"/>
    </xf>
    <xf numFmtId="0" fontId="18" fillId="0" borderId="56" xfId="2" applyFont="1" applyBorder="1" applyAlignment="1">
      <alignment horizontal="right" vertical="top"/>
    </xf>
    <xf numFmtId="0" fontId="18" fillId="0" borderId="0" xfId="2" applyFont="1" applyAlignment="1">
      <alignment horizontal="left" vertical="justify"/>
    </xf>
    <xf numFmtId="0" fontId="18" fillId="0" borderId="58" xfId="2" applyFont="1" applyBorder="1" applyAlignment="1">
      <alignment horizontal="center"/>
    </xf>
    <xf numFmtId="4" fontId="18" fillId="0" borderId="12" xfId="2" applyNumberFormat="1" applyFont="1" applyBorder="1" applyAlignment="1">
      <alignment horizontal="center"/>
    </xf>
    <xf numFmtId="4" fontId="18" fillId="0" borderId="58" xfId="2" applyNumberFormat="1" applyFont="1" applyBorder="1" applyAlignment="1">
      <alignment horizontal="center"/>
    </xf>
    <xf numFmtId="0" fontId="18" fillId="7" borderId="12" xfId="2" applyFont="1" applyFill="1" applyBorder="1" applyAlignment="1">
      <alignment horizontal="right" vertical="top"/>
    </xf>
    <xf numFmtId="0" fontId="18" fillId="7" borderId="14" xfId="2" applyFont="1" applyFill="1" applyBorder="1" applyAlignment="1">
      <alignment horizontal="left" vertical="justify"/>
    </xf>
    <xf numFmtId="4" fontId="18" fillId="7" borderId="12" xfId="2" applyNumberFormat="1" applyFont="1" applyFill="1" applyBorder="1" applyAlignment="1">
      <alignment horizontal="center"/>
    </xf>
    <xf numFmtId="4" fontId="18" fillId="7" borderId="14" xfId="2" applyNumberFormat="1" applyFont="1" applyFill="1" applyBorder="1" applyAlignment="1">
      <alignment horizontal="center"/>
    </xf>
    <xf numFmtId="4" fontId="18" fillId="0" borderId="59" xfId="2" applyNumberFormat="1" applyFont="1" applyBorder="1" applyAlignment="1">
      <alignment horizontal="center"/>
    </xf>
    <xf numFmtId="43" fontId="18" fillId="3" borderId="1" xfId="2" applyNumberFormat="1" applyFont="1" applyFill="1" applyBorder="1" applyAlignment="1">
      <alignment horizontal="center"/>
    </xf>
    <xf numFmtId="10" fontId="30" fillId="7" borderId="12" xfId="1" applyNumberFormat="1" applyFont="1" applyFill="1" applyBorder="1" applyAlignment="1">
      <alignment horizontal="center"/>
    </xf>
    <xf numFmtId="10" fontId="31" fillId="7" borderId="14" xfId="1" applyNumberFormat="1" applyFont="1" applyFill="1" applyBorder="1" applyAlignment="1">
      <alignment horizontal="center"/>
    </xf>
    <xf numFmtId="0" fontId="32" fillId="0" borderId="56" xfId="2" applyFont="1" applyBorder="1" applyAlignment="1">
      <alignment horizontal="right" vertical="top"/>
    </xf>
    <xf numFmtId="0" fontId="32" fillId="0" borderId="0" xfId="2" applyFont="1" applyAlignment="1">
      <alignment horizontal="left" vertical="justify"/>
    </xf>
    <xf numFmtId="0" fontId="32" fillId="0" borderId="59" xfId="2" applyFont="1" applyBorder="1" applyAlignment="1">
      <alignment horizontal="center"/>
    </xf>
    <xf numFmtId="4" fontId="32" fillId="0" borderId="48" xfId="2" applyNumberFormat="1" applyFont="1" applyBorder="1" applyAlignment="1">
      <alignment horizontal="center"/>
    </xf>
    <xf numFmtId="4" fontId="32" fillId="0" borderId="59" xfId="2" applyNumberFormat="1" applyFont="1" applyBorder="1" applyAlignment="1">
      <alignment horizontal="center"/>
    </xf>
    <xf numFmtId="0" fontId="33" fillId="0" borderId="0" xfId="0" applyFont="1"/>
    <xf numFmtId="10" fontId="31" fillId="0" borderId="59" xfId="1" applyNumberFormat="1" applyFont="1" applyFill="1" applyBorder="1" applyAlignment="1">
      <alignment horizontal="center"/>
    </xf>
    <xf numFmtId="0" fontId="33" fillId="0" borderId="0" xfId="0" applyFont="1" applyAlignment="1">
      <alignment horizontal="left" vertical="top" wrapText="1"/>
    </xf>
    <xf numFmtId="4" fontId="32" fillId="0" borderId="56" xfId="2" applyNumberFormat="1" applyFont="1" applyBorder="1" applyAlignment="1">
      <alignment horizontal="center"/>
    </xf>
    <xf numFmtId="4" fontId="18" fillId="0" borderId="56" xfId="2" applyNumberFormat="1" applyFont="1" applyBorder="1" applyAlignment="1">
      <alignment horizontal="center"/>
    </xf>
    <xf numFmtId="10" fontId="31" fillId="7" borderId="12" xfId="1" applyNumberFormat="1" applyFont="1" applyFill="1" applyBorder="1" applyAlignment="1">
      <alignment horizontal="center"/>
    </xf>
    <xf numFmtId="0" fontId="34" fillId="0" borderId="0" xfId="2" applyFont="1" applyAlignment="1">
      <alignment horizontal="left" vertical="justify"/>
    </xf>
    <xf numFmtId="0" fontId="34" fillId="0" borderId="59" xfId="2" applyFont="1" applyBorder="1" applyAlignment="1">
      <alignment horizontal="center"/>
    </xf>
    <xf numFmtId="0" fontId="32" fillId="0" borderId="60" xfId="2" applyFont="1" applyBorder="1" applyAlignment="1">
      <alignment horizontal="center"/>
    </xf>
    <xf numFmtId="10" fontId="30" fillId="7" borderId="14" xfId="1" applyNumberFormat="1" applyFont="1" applyFill="1" applyBorder="1" applyAlignment="1">
      <alignment horizontal="center"/>
    </xf>
    <xf numFmtId="0" fontId="18" fillId="0" borderId="56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10" fontId="31" fillId="0" borderId="0" xfId="1" applyNumberFormat="1" applyFont="1" applyFill="1" applyBorder="1" applyAlignment="1">
      <alignment horizontal="center"/>
    </xf>
    <xf numFmtId="4" fontId="18" fillId="0" borderId="49" xfId="2" applyNumberFormat="1" applyFont="1" applyBorder="1" applyAlignment="1">
      <alignment horizontal="center"/>
    </xf>
    <xf numFmtId="10" fontId="31" fillId="0" borderId="60" xfId="1" applyNumberFormat="1" applyFont="1" applyFill="1" applyBorder="1" applyAlignment="1">
      <alignment horizontal="center"/>
    </xf>
    <xf numFmtId="10" fontId="31" fillId="0" borderId="57" xfId="1" applyNumberFormat="1" applyFont="1" applyFill="1" applyBorder="1" applyAlignment="1">
      <alignment horizontal="center"/>
    </xf>
    <xf numFmtId="0" fontId="18" fillId="0" borderId="57" xfId="0" applyFont="1" applyBorder="1"/>
    <xf numFmtId="0" fontId="35" fillId="2" borderId="0" xfId="0" applyFont="1" applyFill="1"/>
    <xf numFmtId="4" fontId="18" fillId="4" borderId="1" xfId="2" applyNumberFormat="1" applyFont="1" applyFill="1" applyBorder="1" applyAlignment="1">
      <alignment horizontal="center"/>
    </xf>
    <xf numFmtId="165" fontId="18" fillId="4" borderId="1" xfId="2" applyNumberFormat="1" applyFont="1" applyFill="1" applyBorder="1" applyAlignment="1">
      <alignment horizontal="center"/>
    </xf>
    <xf numFmtId="4" fontId="28" fillId="0" borderId="0" xfId="0" applyNumberFormat="1" applyFont="1"/>
    <xf numFmtId="43" fontId="18" fillId="7" borderId="1" xfId="12" applyFont="1" applyFill="1" applyBorder="1" applyAlignment="1">
      <alignment horizontal="center"/>
    </xf>
    <xf numFmtId="43" fontId="38" fillId="0" borderId="0" xfId="0" applyNumberFormat="1" applyFont="1"/>
    <xf numFmtId="4" fontId="39" fillId="4" borderId="1" xfId="2" applyNumberFormat="1" applyFont="1" applyFill="1" applyBorder="1" applyAlignment="1">
      <alignment horizontal="center"/>
    </xf>
    <xf numFmtId="165" fontId="10" fillId="9" borderId="46" xfId="9" applyFont="1" applyFill="1" applyBorder="1" applyAlignment="1">
      <alignment vertical="distributed" wrapText="1"/>
    </xf>
    <xf numFmtId="0" fontId="40" fillId="0" borderId="0" xfId="0" applyFont="1"/>
    <xf numFmtId="0" fontId="40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6" fillId="0" borderId="0" xfId="0" applyFont="1"/>
    <xf numFmtId="0" fontId="44" fillId="0" borderId="0" xfId="0" applyFont="1" applyAlignment="1">
      <alignment horizontal="center" wrapText="1"/>
    </xf>
    <xf numFmtId="0" fontId="45" fillId="0" borderId="0" xfId="0" applyFont="1"/>
    <xf numFmtId="0" fontId="45" fillId="0" borderId="0" xfId="0" applyFont="1" applyAlignment="1">
      <alignment horizontal="center"/>
    </xf>
    <xf numFmtId="0" fontId="25" fillId="6" borderId="12" xfId="0" applyFont="1" applyFill="1" applyBorder="1"/>
    <xf numFmtId="0" fontId="25" fillId="6" borderId="12" xfId="0" applyFont="1" applyFill="1" applyBorder="1" applyAlignment="1">
      <alignment horizontal="center"/>
    </xf>
    <xf numFmtId="0" fontId="45" fillId="0" borderId="12" xfId="0" applyFont="1" applyBorder="1" applyAlignment="1">
      <alignment horizontal="left"/>
    </xf>
    <xf numFmtId="0" fontId="25" fillId="0" borderId="13" xfId="0" applyFont="1" applyBorder="1"/>
    <xf numFmtId="0" fontId="25" fillId="0" borderId="13" xfId="0" applyFont="1" applyBorder="1" applyAlignment="1">
      <alignment horizontal="center"/>
    </xf>
    <xf numFmtId="0" fontId="25" fillId="0" borderId="12" xfId="0" applyFont="1" applyBorder="1"/>
    <xf numFmtId="0" fontId="25" fillId="0" borderId="12" xfId="0" applyFont="1" applyBorder="1" applyAlignment="1">
      <alignment horizontal="center"/>
    </xf>
    <xf numFmtId="10" fontId="16" fillId="5" borderId="12" xfId="1" applyNumberFormat="1" applyFont="1" applyFill="1" applyBorder="1" applyAlignment="1">
      <alignment horizontal="center"/>
    </xf>
    <xf numFmtId="0" fontId="40" fillId="0" borderId="12" xfId="0" applyFont="1" applyBorder="1"/>
    <xf numFmtId="2" fontId="46" fillId="0" borderId="12" xfId="0" applyNumberFormat="1" applyFont="1" applyBorder="1" applyAlignment="1">
      <alignment horizontal="center"/>
    </xf>
    <xf numFmtId="10" fontId="46" fillId="0" borderId="12" xfId="1" applyNumberFormat="1" applyFont="1" applyBorder="1" applyAlignment="1">
      <alignment horizontal="center"/>
    </xf>
    <xf numFmtId="0" fontId="25" fillId="0" borderId="12" xfId="19" applyFont="1" applyBorder="1"/>
    <xf numFmtId="0" fontId="25" fillId="0" borderId="12" xfId="19" applyFont="1" applyBorder="1" applyAlignment="1">
      <alignment horizontal="center"/>
    </xf>
    <xf numFmtId="10" fontId="16" fillId="5" borderId="12" xfId="26" applyNumberFormat="1" applyFont="1" applyFill="1" applyBorder="1" applyAlignment="1">
      <alignment horizontal="center"/>
    </xf>
    <xf numFmtId="0" fontId="40" fillId="0" borderId="12" xfId="0" applyFont="1" applyBorder="1" applyAlignment="1">
      <alignment vertical="center"/>
    </xf>
    <xf numFmtId="10" fontId="16" fillId="0" borderId="12" xfId="1" applyNumberFormat="1" applyFont="1" applyBorder="1" applyAlignment="1">
      <alignment horizontal="center"/>
    </xf>
    <xf numFmtId="169" fontId="47" fillId="0" borderId="0" xfId="0" applyNumberFormat="1" applyFont="1" applyAlignment="1">
      <alignment horizontal="left"/>
    </xf>
    <xf numFmtId="10" fontId="16" fillId="0" borderId="13" xfId="1" applyNumberFormat="1" applyFont="1" applyFill="1" applyBorder="1" applyAlignment="1">
      <alignment horizontal="center"/>
    </xf>
    <xf numFmtId="0" fontId="25" fillId="6" borderId="14" xfId="0" applyFont="1" applyFill="1" applyBorder="1"/>
    <xf numFmtId="0" fontId="0" fillId="6" borderId="15" xfId="0" applyFill="1" applyBorder="1" applyAlignment="1">
      <alignment horizontal="center"/>
    </xf>
    <xf numFmtId="0" fontId="48" fillId="0" borderId="0" xfId="0" applyFont="1"/>
    <xf numFmtId="0" fontId="49" fillId="0" borderId="0" xfId="0" applyFont="1" applyAlignment="1">
      <alignment horizontal="center"/>
    </xf>
    <xf numFmtId="0" fontId="50" fillId="0" borderId="0" xfId="0" applyFont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26" fillId="0" borderId="19" xfId="0" applyFont="1" applyBorder="1"/>
    <xf numFmtId="0" fontId="26" fillId="0" borderId="0" xfId="0" applyFont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0" xfId="0" applyFont="1"/>
    <xf numFmtId="0" fontId="26" fillId="0" borderId="21" xfId="0" applyFont="1" applyBorder="1"/>
    <xf numFmtId="0" fontId="26" fillId="0" borderId="22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16" fillId="0" borderId="0" xfId="0" applyFont="1"/>
    <xf numFmtId="0" fontId="51" fillId="0" borderId="0" xfId="0" applyFont="1" applyAlignment="1">
      <alignment horizontal="center"/>
    </xf>
    <xf numFmtId="0" fontId="26" fillId="0" borderId="0" xfId="6" applyFont="1"/>
    <xf numFmtId="0" fontId="53" fillId="0" borderId="12" xfId="0" applyFont="1" applyBorder="1" applyAlignment="1">
      <alignment wrapText="1"/>
    </xf>
    <xf numFmtId="43" fontId="36" fillId="17" borderId="12" xfId="12" applyFont="1" applyFill="1" applyBorder="1" applyAlignment="1">
      <alignment horizontal="center"/>
    </xf>
    <xf numFmtId="168" fontId="37" fillId="17" borderId="12" xfId="1" applyNumberFormat="1" applyFont="1" applyFill="1" applyBorder="1" applyAlignment="1">
      <alignment horizontal="center"/>
    </xf>
    <xf numFmtId="0" fontId="18" fillId="0" borderId="56" xfId="2" applyFont="1" applyBorder="1" applyAlignment="1">
      <alignment horizontal="right" vertical="center"/>
    </xf>
    <xf numFmtId="0" fontId="18" fillId="0" borderId="0" xfId="2" applyFont="1" applyAlignment="1">
      <alignment horizontal="right" vertical="center"/>
    </xf>
    <xf numFmtId="10" fontId="31" fillId="0" borderId="0" xfId="1" applyNumberFormat="1" applyFont="1" applyFill="1" applyBorder="1" applyAlignment="1">
      <alignment horizontal="right"/>
    </xf>
    <xf numFmtId="0" fontId="18" fillId="0" borderId="0" xfId="2" applyFont="1" applyAlignment="1">
      <alignment horizontal="right" vertical="top"/>
    </xf>
    <xf numFmtId="0" fontId="10" fillId="0" borderId="0" xfId="2" applyFont="1" applyAlignment="1">
      <alignment wrapText="1"/>
    </xf>
    <xf numFmtId="0" fontId="10" fillId="0" borderId="0" xfId="0" applyFont="1" applyAlignment="1">
      <alignment horizontal="center"/>
    </xf>
    <xf numFmtId="49" fontId="10" fillId="0" borderId="0" xfId="2" applyNumberFormat="1" applyFont="1" applyAlignment="1">
      <alignment horizontal="left" vertical="center"/>
    </xf>
    <xf numFmtId="0" fontId="10" fillId="2" borderId="0" xfId="0" applyFont="1" applyFill="1" applyAlignment="1">
      <alignment horizontal="center"/>
    </xf>
    <xf numFmtId="0" fontId="11" fillId="11" borderId="12" xfId="40" applyFont="1" applyFill="1" applyBorder="1" applyAlignment="1">
      <alignment horizontal="center" vertical="center" wrapText="1"/>
    </xf>
    <xf numFmtId="165" fontId="10" fillId="9" borderId="32" xfId="9" applyFont="1" applyFill="1" applyBorder="1" applyAlignment="1">
      <alignment horizontal="right" vertical="distributed" wrapText="1"/>
    </xf>
    <xf numFmtId="165" fontId="10" fillId="9" borderId="1" xfId="9" applyFont="1" applyFill="1" applyBorder="1" applyAlignment="1">
      <alignment horizontal="right" vertical="distributed" wrapText="1"/>
    </xf>
    <xf numFmtId="2" fontId="10" fillId="9" borderId="38" xfId="9" applyNumberFormat="1" applyFont="1" applyFill="1" applyBorder="1" applyAlignment="1">
      <alignment horizontal="center" vertical="distributed" wrapText="1"/>
    </xf>
    <xf numFmtId="172" fontId="11" fillId="0" borderId="0" xfId="0" applyNumberFormat="1" applyFont="1"/>
    <xf numFmtId="171" fontId="10" fillId="2" borderId="1" xfId="9" applyNumberFormat="1" applyFont="1" applyFill="1" applyBorder="1" applyAlignment="1">
      <alignment horizontal="center" vertical="center" wrapText="1"/>
    </xf>
    <xf numFmtId="165" fontId="10" fillId="2" borderId="1" xfId="9" applyFont="1" applyFill="1" applyBorder="1" applyAlignment="1">
      <alignment horizontal="center" vertical="center" wrapText="1"/>
    </xf>
    <xf numFmtId="165" fontId="10" fillId="2" borderId="38" xfId="9" applyFont="1" applyFill="1" applyBorder="1" applyAlignment="1">
      <alignment horizontal="center" vertical="center" wrapText="1"/>
    </xf>
    <xf numFmtId="165" fontId="10" fillId="15" borderId="45" xfId="9" applyFont="1" applyFill="1" applyBorder="1" applyAlignment="1">
      <alignment horizontal="center" vertical="center" wrapText="1"/>
    </xf>
    <xf numFmtId="165" fontId="10" fillId="4" borderId="46" xfId="9" applyFont="1" applyFill="1" applyBorder="1" applyAlignment="1">
      <alignment horizontal="center" vertical="center" wrapText="1"/>
    </xf>
    <xf numFmtId="165" fontId="10" fillId="2" borderId="46" xfId="9" applyFont="1" applyFill="1" applyBorder="1" applyAlignment="1">
      <alignment horizontal="center" vertical="center" wrapText="1"/>
    </xf>
    <xf numFmtId="165" fontId="10" fillId="3" borderId="11" xfId="9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11" fillId="9" borderId="1" xfId="9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justify" vertical="center" wrapText="1"/>
    </xf>
    <xf numFmtId="0" fontId="11" fillId="0" borderId="38" xfId="0" applyFont="1" applyBorder="1" applyAlignment="1">
      <alignment horizontal="center" vertical="distributed"/>
    </xf>
    <xf numFmtId="173" fontId="11" fillId="16" borderId="45" xfId="41" applyNumberFormat="1" applyFont="1" applyFill="1" applyBorder="1" applyAlignment="1">
      <alignment horizontal="center" vertical="distributed" wrapText="1"/>
    </xf>
    <xf numFmtId="0" fontId="11" fillId="13" borderId="45" xfId="9" applyNumberFormat="1" applyFont="1" applyFill="1" applyBorder="1" applyAlignment="1" applyProtection="1">
      <alignment horizontal="center" vertical="center"/>
      <protection locked="0"/>
    </xf>
    <xf numFmtId="0" fontId="11" fillId="6" borderId="45" xfId="9" applyNumberFormat="1" applyFont="1" applyFill="1" applyBorder="1" applyAlignment="1">
      <alignment horizontal="center" vertical="distributed" wrapText="1"/>
    </xf>
    <xf numFmtId="0" fontId="11" fillId="14" borderId="25" xfId="9" applyNumberFormat="1" applyFont="1" applyFill="1" applyBorder="1" applyAlignment="1" applyProtection="1">
      <alignment horizontal="center" vertical="center"/>
      <protection locked="0"/>
    </xf>
    <xf numFmtId="2" fontId="11" fillId="6" borderId="45" xfId="9" applyNumberFormat="1" applyFont="1" applyFill="1" applyBorder="1" applyAlignment="1">
      <alignment horizontal="center" vertical="distributed" wrapText="1"/>
    </xf>
    <xf numFmtId="49" fontId="11" fillId="9" borderId="1" xfId="9" quotePrefix="1" applyNumberFormat="1" applyFont="1" applyFill="1" applyBorder="1" applyAlignment="1">
      <alignment horizontal="center" vertical="center" wrapText="1"/>
    </xf>
    <xf numFmtId="44" fontId="11" fillId="0" borderId="0" xfId="82" applyFont="1"/>
    <xf numFmtId="0" fontId="11" fillId="0" borderId="1" xfId="0" applyFont="1" applyBorder="1"/>
    <xf numFmtId="165" fontId="10" fillId="15" borderId="12" xfId="9" applyFont="1" applyFill="1" applyBorder="1" applyAlignment="1">
      <alignment horizontal="center" vertical="distributed" wrapText="1"/>
    </xf>
    <xf numFmtId="44" fontId="11" fillId="0" borderId="0" xfId="15" applyFont="1" applyBorder="1"/>
    <xf numFmtId="165" fontId="53" fillId="0" borderId="0" xfId="0" applyNumberFormat="1" applyFont="1"/>
    <xf numFmtId="0" fontId="53" fillId="0" borderId="0" xfId="0" applyFont="1"/>
    <xf numFmtId="165" fontId="10" fillId="4" borderId="12" xfId="9" applyFont="1" applyFill="1" applyBorder="1" applyAlignment="1">
      <alignment horizontal="center" vertical="distributed" wrapText="1"/>
    </xf>
    <xf numFmtId="165" fontId="10" fillId="3" borderId="12" xfId="9" applyFont="1" applyFill="1" applyBorder="1" applyAlignment="1">
      <alignment horizontal="center" vertical="distributed" wrapText="1"/>
    </xf>
    <xf numFmtId="171" fontId="53" fillId="9" borderId="1" xfId="9" applyNumberFormat="1" applyFont="1" applyFill="1" applyBorder="1" applyAlignment="1">
      <alignment horizontal="justify" vertical="distributed" wrapText="1"/>
    </xf>
    <xf numFmtId="165" fontId="55" fillId="9" borderId="1" xfId="9" applyFont="1" applyFill="1" applyBorder="1" applyAlignment="1">
      <alignment horizontal="justify" vertical="distributed" wrapText="1"/>
    </xf>
    <xf numFmtId="0" fontId="53" fillId="0" borderId="37" xfId="0" applyFont="1" applyBorder="1"/>
    <xf numFmtId="0" fontId="53" fillId="0" borderId="47" xfId="0" applyFont="1" applyBorder="1"/>
    <xf numFmtId="171" fontId="53" fillId="9" borderId="51" xfId="9" applyNumberFormat="1" applyFont="1" applyFill="1" applyBorder="1" applyAlignment="1">
      <alignment horizontal="justify" vertical="distributed" wrapText="1"/>
    </xf>
    <xf numFmtId="165" fontId="10" fillId="9" borderId="45" xfId="9" applyFont="1" applyFill="1" applyBorder="1" applyAlignment="1">
      <alignment vertical="distributed" wrapText="1"/>
    </xf>
    <xf numFmtId="165" fontId="10" fillId="4" borderId="54" xfId="9" applyFont="1" applyFill="1" applyBorder="1" applyAlignment="1">
      <alignment horizontal="center" vertical="center" wrapText="1"/>
    </xf>
    <xf numFmtId="165" fontId="10" fillId="2" borderId="12" xfId="9" applyFont="1" applyFill="1" applyBorder="1" applyAlignment="1">
      <alignment horizontal="center" vertical="center" wrapText="1"/>
    </xf>
    <xf numFmtId="165" fontId="10" fillId="3" borderId="54" xfId="9" applyFont="1" applyFill="1" applyBorder="1" applyAlignment="1">
      <alignment horizontal="center" vertical="center" wrapText="1"/>
    </xf>
    <xf numFmtId="165" fontId="10" fillId="2" borderId="54" xfId="9" applyFont="1" applyFill="1" applyBorder="1" applyAlignment="1">
      <alignment horizontal="center" vertical="center" wrapText="1"/>
    </xf>
    <xf numFmtId="2" fontId="11" fillId="13" borderId="45" xfId="9" applyNumberFormat="1" applyFont="1" applyFill="1" applyBorder="1" applyAlignment="1" applyProtection="1">
      <alignment horizontal="center" vertical="center"/>
      <protection locked="0"/>
    </xf>
    <xf numFmtId="2" fontId="11" fillId="6" borderId="46" xfId="9" applyNumberFormat="1" applyFont="1" applyFill="1" applyBorder="1" applyAlignment="1">
      <alignment horizontal="center" vertical="distributed" wrapText="1"/>
    </xf>
    <xf numFmtId="2" fontId="11" fillId="14" borderId="45" xfId="9" applyNumberFormat="1" applyFont="1" applyFill="1" applyBorder="1" applyAlignment="1" applyProtection="1">
      <alignment horizontal="center" vertical="center"/>
      <protection locked="0"/>
    </xf>
    <xf numFmtId="0" fontId="11" fillId="0" borderId="43" xfId="0" applyFont="1" applyBorder="1"/>
    <xf numFmtId="0" fontId="11" fillId="0" borderId="55" xfId="0" applyFont="1" applyBorder="1"/>
    <xf numFmtId="165" fontId="10" fillId="13" borderId="12" xfId="9" applyFont="1" applyFill="1" applyBorder="1" applyAlignment="1">
      <alignment horizontal="center" vertical="distributed" wrapText="1"/>
    </xf>
    <xf numFmtId="165" fontId="10" fillId="14" borderId="12" xfId="9" applyFont="1" applyFill="1" applyBorder="1" applyAlignment="1">
      <alignment horizontal="center" vertical="distributed" wrapText="1"/>
    </xf>
    <xf numFmtId="171" fontId="10" fillId="2" borderId="51" xfId="9" applyNumberFormat="1" applyFont="1" applyFill="1" applyBorder="1" applyAlignment="1">
      <alignment horizontal="center" vertical="center" wrapText="1"/>
    </xf>
    <xf numFmtId="49" fontId="11" fillId="9" borderId="51" xfId="9" applyNumberFormat="1" applyFont="1" applyFill="1" applyBorder="1" applyAlignment="1">
      <alignment horizontal="center" vertical="center" wrapText="1"/>
    </xf>
    <xf numFmtId="0" fontId="11" fillId="0" borderId="42" xfId="0" applyFont="1" applyBorder="1"/>
    <xf numFmtId="171" fontId="11" fillId="9" borderId="51" xfId="9" applyNumberFormat="1" applyFont="1" applyFill="1" applyBorder="1" applyAlignment="1">
      <alignment horizontal="justify" vertical="distributed" wrapText="1"/>
    </xf>
    <xf numFmtId="0" fontId="9" fillId="0" borderId="0" xfId="0" applyFont="1" applyAlignment="1">
      <alignment horizontal="left"/>
    </xf>
    <xf numFmtId="165" fontId="10" fillId="19" borderId="68" xfId="0" applyNumberFormat="1" applyFont="1" applyFill="1" applyBorder="1" applyAlignment="1">
      <alignment horizontal="right" vertical="center" wrapText="1"/>
    </xf>
    <xf numFmtId="165" fontId="10" fillId="19" borderId="79" xfId="0" applyNumberFormat="1" applyFont="1" applyFill="1" applyBorder="1" applyAlignment="1">
      <alignment horizontal="right" vertical="center" wrapText="1"/>
    </xf>
    <xf numFmtId="2" fontId="10" fillId="19" borderId="80" xfId="0" applyNumberFormat="1" applyFont="1" applyFill="1" applyBorder="1" applyAlignment="1">
      <alignment horizontal="center" vertical="center" wrapText="1"/>
    </xf>
    <xf numFmtId="171" fontId="11" fillId="19" borderId="85" xfId="0" applyNumberFormat="1" applyFont="1" applyFill="1" applyBorder="1" applyAlignment="1">
      <alignment horizontal="left" vertical="center" wrapText="1"/>
    </xf>
    <xf numFmtId="171" fontId="11" fillId="19" borderId="86" xfId="0" applyNumberFormat="1" applyFont="1" applyFill="1" applyBorder="1" applyAlignment="1">
      <alignment horizontal="left" vertical="center" wrapText="1"/>
    </xf>
    <xf numFmtId="165" fontId="10" fillId="19" borderId="86" xfId="0" applyNumberFormat="1" applyFont="1" applyFill="1" applyBorder="1" applyAlignment="1">
      <alignment horizontal="left" vertical="center" wrapText="1"/>
    </xf>
    <xf numFmtId="165" fontId="10" fillId="19" borderId="80" xfId="0" applyNumberFormat="1" applyFont="1" applyFill="1" applyBorder="1" applyAlignment="1">
      <alignment horizontal="left" vertical="center" wrapText="1"/>
    </xf>
    <xf numFmtId="165" fontId="10" fillId="19" borderId="87" xfId="0" applyNumberFormat="1" applyFont="1" applyFill="1" applyBorder="1" applyAlignment="1">
      <alignment vertical="center" wrapText="1"/>
    </xf>
    <xf numFmtId="171" fontId="10" fillId="25" borderId="85" xfId="0" applyNumberFormat="1" applyFont="1" applyFill="1" applyBorder="1" applyAlignment="1">
      <alignment horizontal="center" vertical="center" wrapText="1"/>
    </xf>
    <xf numFmtId="171" fontId="10" fillId="25" borderId="86" xfId="0" applyNumberFormat="1" applyFont="1" applyFill="1" applyBorder="1" applyAlignment="1">
      <alignment horizontal="center" vertical="center" wrapText="1"/>
    </xf>
    <xf numFmtId="165" fontId="10" fillId="25" borderId="86" xfId="0" applyNumberFormat="1" applyFont="1" applyFill="1" applyBorder="1" applyAlignment="1">
      <alignment horizontal="center" vertical="center" wrapText="1"/>
    </xf>
    <xf numFmtId="165" fontId="10" fillId="25" borderId="80" xfId="0" applyNumberFormat="1" applyFont="1" applyFill="1" applyBorder="1" applyAlignment="1">
      <alignment horizontal="center" vertical="center" wrapText="1"/>
    </xf>
    <xf numFmtId="165" fontId="10" fillId="26" borderId="87" xfId="0" applyNumberFormat="1" applyFont="1" applyFill="1" applyBorder="1" applyAlignment="1">
      <alignment horizontal="center" vertical="center" wrapText="1"/>
    </xf>
    <xf numFmtId="165" fontId="10" fillId="23" borderId="90" xfId="0" applyNumberFormat="1" applyFont="1" applyFill="1" applyBorder="1" applyAlignment="1">
      <alignment horizontal="center" vertical="center" wrapText="1"/>
    </xf>
    <xf numFmtId="165" fontId="10" fillId="25" borderId="70" xfId="0" applyNumberFormat="1" applyFont="1" applyFill="1" applyBorder="1" applyAlignment="1">
      <alignment horizontal="center" vertical="center" wrapText="1"/>
    </xf>
    <xf numFmtId="165" fontId="10" fillId="24" borderId="90" xfId="0" applyNumberFormat="1" applyFont="1" applyFill="1" applyBorder="1" applyAlignment="1">
      <alignment horizontal="center" vertical="center" wrapText="1"/>
    </xf>
    <xf numFmtId="165" fontId="10" fillId="25" borderId="90" xfId="0" applyNumberFormat="1" applyFont="1" applyFill="1" applyBorder="1" applyAlignment="1">
      <alignment horizontal="center" vertical="center" wrapText="1"/>
    </xf>
    <xf numFmtId="49" fontId="11" fillId="19" borderId="85" xfId="0" applyNumberFormat="1" applyFont="1" applyFill="1" applyBorder="1" applyAlignment="1">
      <alignment horizontal="center" vertical="center" wrapText="1"/>
    </xf>
    <xf numFmtId="49" fontId="11" fillId="19" borderId="86" xfId="0" quotePrefix="1" applyNumberFormat="1" applyFont="1" applyFill="1" applyBorder="1" applyAlignment="1">
      <alignment horizontal="center" vertical="center" wrapText="1"/>
    </xf>
    <xf numFmtId="0" fontId="11" fillId="19" borderId="86" xfId="0" applyFont="1" applyFill="1" applyBorder="1" applyAlignment="1">
      <alignment horizontal="justify" vertical="center" wrapText="1"/>
    </xf>
    <xf numFmtId="0" fontId="11" fillId="0" borderId="80" xfId="0" applyFont="1" applyBorder="1" applyAlignment="1">
      <alignment horizontal="center" vertical="center"/>
    </xf>
    <xf numFmtId="4" fontId="11" fillId="27" borderId="87" xfId="0" applyNumberFormat="1" applyFont="1" applyFill="1" applyBorder="1" applyAlignment="1">
      <alignment horizontal="center" vertical="center" wrapText="1"/>
    </xf>
    <xf numFmtId="2" fontId="11" fillId="21" borderId="87" xfId="0" applyNumberFormat="1" applyFont="1" applyFill="1" applyBorder="1" applyAlignment="1">
      <alignment horizontal="center" vertical="center"/>
    </xf>
    <xf numFmtId="2" fontId="11" fillId="22" borderId="87" xfId="0" applyNumberFormat="1" applyFont="1" applyFill="1" applyBorder="1" applyAlignment="1">
      <alignment horizontal="center" vertical="center"/>
    </xf>
    <xf numFmtId="0" fontId="11" fillId="0" borderId="91" xfId="0" applyFont="1" applyBorder="1"/>
    <xf numFmtId="0" fontId="11" fillId="0" borderId="92" xfId="0" applyFont="1" applyBorder="1"/>
    <xf numFmtId="0" fontId="11" fillId="0" borderId="93" xfId="0" applyFont="1" applyBorder="1"/>
    <xf numFmtId="165" fontId="10" fillId="23" borderId="61" xfId="0" applyNumberFormat="1" applyFont="1" applyFill="1" applyBorder="1" applyAlignment="1">
      <alignment horizontal="center" vertical="center" wrapText="1"/>
    </xf>
    <xf numFmtId="165" fontId="10" fillId="21" borderId="61" xfId="0" applyNumberFormat="1" applyFont="1" applyFill="1" applyBorder="1" applyAlignment="1">
      <alignment horizontal="center" vertical="center" wrapText="1"/>
    </xf>
    <xf numFmtId="165" fontId="10" fillId="24" borderId="61" xfId="0" applyNumberFormat="1" applyFont="1" applyFill="1" applyBorder="1" applyAlignment="1">
      <alignment horizontal="center" vertical="center" wrapText="1"/>
    </xf>
    <xf numFmtId="165" fontId="10" fillId="22" borderId="61" xfId="0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horizontal="left"/>
    </xf>
    <xf numFmtId="0" fontId="14" fillId="0" borderId="0" xfId="2" applyFont="1" applyAlignment="1">
      <alignment horizontal="left" vertical="top"/>
    </xf>
    <xf numFmtId="0" fontId="11" fillId="0" borderId="37" xfId="0" applyFont="1" applyBorder="1"/>
    <xf numFmtId="0" fontId="11" fillId="0" borderId="47" xfId="0" applyFont="1" applyBorder="1"/>
    <xf numFmtId="49" fontId="11" fillId="9" borderId="51" xfId="59" applyNumberFormat="1" applyFont="1" applyFill="1" applyBorder="1" applyAlignment="1">
      <alignment horizontal="center" vertical="center" wrapText="1"/>
    </xf>
    <xf numFmtId="49" fontId="11" fillId="9" borderId="1" xfId="59" quotePrefix="1" applyNumberFormat="1" applyFont="1" applyFill="1" applyBorder="1" applyAlignment="1">
      <alignment horizontal="center" vertical="center" wrapText="1"/>
    </xf>
    <xf numFmtId="174" fontId="11" fillId="16" borderId="45" xfId="41" applyNumberFormat="1" applyFont="1" applyFill="1" applyBorder="1" applyAlignment="1">
      <alignment horizontal="center" vertical="distributed" wrapText="1"/>
    </xf>
    <xf numFmtId="0" fontId="11" fillId="6" borderId="25" xfId="9" applyNumberFormat="1" applyFont="1" applyFill="1" applyBorder="1" applyAlignment="1">
      <alignment horizontal="center" vertical="distributed" wrapText="1"/>
    </xf>
    <xf numFmtId="0" fontId="11" fillId="14" borderId="45" xfId="9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1" fillId="0" borderId="24" xfId="0" applyFont="1" applyBorder="1"/>
    <xf numFmtId="0" fontId="11" fillId="0" borderId="50" xfId="0" applyFont="1" applyBorder="1"/>
    <xf numFmtId="0" fontId="11" fillId="0" borderId="0" xfId="0" applyFont="1" applyAlignment="1">
      <alignment horizontal="left"/>
    </xf>
    <xf numFmtId="165" fontId="10" fillId="2" borderId="11" xfId="9" applyFont="1" applyFill="1" applyBorder="1" applyAlignment="1">
      <alignment horizontal="center" vertical="center" wrapText="1"/>
    </xf>
    <xf numFmtId="165" fontId="10" fillId="3" borderId="46" xfId="9" applyFont="1" applyFill="1" applyBorder="1" applyAlignment="1">
      <alignment horizontal="center" vertical="center" wrapText="1"/>
    </xf>
    <xf numFmtId="4" fontId="9" fillId="0" borderId="0" xfId="0" applyNumberFormat="1" applyFont="1"/>
    <xf numFmtId="0" fontId="18" fillId="0" borderId="32" xfId="2" applyFont="1" applyBorder="1" applyAlignment="1">
      <alignment horizontal="center" vertical="top"/>
    </xf>
    <xf numFmtId="4" fontId="18" fillId="0" borderId="32" xfId="2" applyNumberFormat="1" applyFont="1" applyBorder="1" applyAlignment="1">
      <alignment horizontal="center"/>
    </xf>
    <xf numFmtId="0" fontId="18" fillId="17" borderId="29" xfId="2" applyFont="1" applyFill="1" applyBorder="1" applyAlignment="1">
      <alignment horizontal="center" vertical="top"/>
    </xf>
    <xf numFmtId="0" fontId="18" fillId="17" borderId="1" xfId="2" applyFont="1" applyFill="1" applyBorder="1" applyAlignment="1">
      <alignment horizontal="center" vertical="top"/>
    </xf>
    <xf numFmtId="0" fontId="18" fillId="17" borderId="1" xfId="2" applyFont="1" applyFill="1" applyBorder="1" applyAlignment="1">
      <alignment horizontal="left" vertical="justify"/>
    </xf>
    <xf numFmtId="0" fontId="18" fillId="17" borderId="1" xfId="2" applyFont="1" applyFill="1" applyBorder="1" applyAlignment="1">
      <alignment horizontal="center"/>
    </xf>
    <xf numFmtId="4" fontId="18" fillId="17" borderId="1" xfId="2" applyNumberFormat="1" applyFont="1" applyFill="1" applyBorder="1" applyAlignment="1">
      <alignment horizontal="center"/>
    </xf>
    <xf numFmtId="4" fontId="9" fillId="17" borderId="30" xfId="2" applyNumberFormat="1" applyFont="1" applyFill="1" applyBorder="1" applyAlignment="1">
      <alignment horizontal="center"/>
    </xf>
    <xf numFmtId="4" fontId="9" fillId="17" borderId="29" xfId="2" applyNumberFormat="1" applyFont="1" applyFill="1" applyBorder="1" applyAlignment="1">
      <alignment horizontal="center"/>
    </xf>
    <xf numFmtId="4" fontId="9" fillId="17" borderId="1" xfId="2" applyNumberFormat="1" applyFont="1" applyFill="1" applyBorder="1" applyAlignment="1">
      <alignment horizontal="center"/>
    </xf>
    <xf numFmtId="4" fontId="18" fillId="17" borderId="30" xfId="2" applyNumberFormat="1" applyFont="1" applyFill="1" applyBorder="1" applyAlignment="1">
      <alignment horizontal="center"/>
    </xf>
    <xf numFmtId="0" fontId="18" fillId="17" borderId="0" xfId="0" quotePrefix="1" applyFont="1" applyFill="1"/>
    <xf numFmtId="10" fontId="18" fillId="17" borderId="0" xfId="1" applyNumberFormat="1" applyFont="1" applyFill="1" applyBorder="1" applyAlignment="1">
      <alignment horizontal="left"/>
    </xf>
    <xf numFmtId="0" fontId="9" fillId="17" borderId="0" xfId="0" applyFont="1" applyFill="1"/>
    <xf numFmtId="0" fontId="9" fillId="10" borderId="0" xfId="0" applyFont="1" applyFill="1"/>
    <xf numFmtId="0" fontId="18" fillId="0" borderId="1" xfId="2" applyFont="1" applyBorder="1" applyAlignment="1">
      <alignment horizontal="center" vertical="top"/>
    </xf>
    <xf numFmtId="0" fontId="18" fillId="0" borderId="1" xfId="2" applyFont="1" applyBorder="1" applyAlignment="1">
      <alignment horizontal="left" vertical="justify"/>
    </xf>
    <xf numFmtId="4" fontId="18" fillId="0" borderId="1" xfId="2" applyNumberFormat="1" applyFont="1" applyBorder="1" applyAlignment="1">
      <alignment horizontal="center"/>
    </xf>
    <xf numFmtId="0" fontId="18" fillId="2" borderId="29" xfId="2" applyFont="1" applyFill="1" applyBorder="1" applyAlignment="1">
      <alignment horizontal="center" vertical="top"/>
    </xf>
    <xf numFmtId="0" fontId="18" fillId="2" borderId="1" xfId="2" applyFont="1" applyFill="1" applyBorder="1" applyAlignment="1">
      <alignment horizontal="center" vertical="top"/>
    </xf>
    <xf numFmtId="0" fontId="18" fillId="2" borderId="1" xfId="2" applyFont="1" applyFill="1" applyBorder="1" applyAlignment="1">
      <alignment horizontal="justify" vertical="justify"/>
    </xf>
    <xf numFmtId="0" fontId="18" fillId="2" borderId="1" xfId="2" applyFont="1" applyFill="1" applyBorder="1" applyAlignment="1">
      <alignment horizontal="center"/>
    </xf>
    <xf numFmtId="4" fontId="9" fillId="2" borderId="1" xfId="2" applyNumberFormat="1" applyFont="1" applyFill="1" applyBorder="1" applyAlignment="1">
      <alignment horizontal="center"/>
    </xf>
    <xf numFmtId="0" fontId="9" fillId="0" borderId="1" xfId="2" applyFont="1" applyBorder="1" applyAlignment="1">
      <alignment horizontal="right" vertical="justify"/>
    </xf>
    <xf numFmtId="0" fontId="18" fillId="9" borderId="29" xfId="2" applyFont="1" applyFill="1" applyBorder="1" applyAlignment="1">
      <alignment horizontal="center" vertical="top"/>
    </xf>
    <xf numFmtId="0" fontId="18" fillId="9" borderId="1" xfId="2" applyFont="1" applyFill="1" applyBorder="1" applyAlignment="1">
      <alignment horizontal="center" vertical="top"/>
    </xf>
    <xf numFmtId="0" fontId="18" fillId="9" borderId="1" xfId="2" applyFont="1" applyFill="1" applyBorder="1" applyAlignment="1">
      <alignment horizontal="right" vertical="justify"/>
    </xf>
    <xf numFmtId="0" fontId="9" fillId="9" borderId="1" xfId="2" applyFont="1" applyFill="1" applyBorder="1" applyAlignment="1">
      <alignment horizontal="center"/>
    </xf>
    <xf numFmtId="4" fontId="9" fillId="9" borderId="1" xfId="2" applyNumberFormat="1" applyFont="1" applyFill="1" applyBorder="1" applyAlignment="1">
      <alignment horizontal="center"/>
    </xf>
    <xf numFmtId="0" fontId="9" fillId="9" borderId="0" xfId="0" applyFont="1" applyFill="1"/>
    <xf numFmtId="4" fontId="18" fillId="0" borderId="1" xfId="2" quotePrefix="1" applyNumberFormat="1" applyFont="1" applyBorder="1" applyAlignment="1">
      <alignment horizontal="center"/>
    </xf>
    <xf numFmtId="0" fontId="9" fillId="0" borderId="1" xfId="2" quotePrefix="1" applyFont="1" applyBorder="1" applyAlignment="1">
      <alignment horizontal="right" vertical="justify" wrapText="1"/>
    </xf>
    <xf numFmtId="43" fontId="56" fillId="0" borderId="12" xfId="12" applyFont="1" applyFill="1" applyBorder="1" applyAlignment="1">
      <alignment horizontal="center"/>
    </xf>
    <xf numFmtId="0" fontId="17" fillId="0" borderId="0" xfId="0" applyFont="1" applyAlignment="1">
      <alignment horizontal="right"/>
    </xf>
    <xf numFmtId="43" fontId="17" fillId="0" borderId="12" xfId="12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4" fontId="56" fillId="0" borderId="1" xfId="2" applyNumberFormat="1" applyFont="1" applyBorder="1" applyAlignment="1">
      <alignment horizontal="center"/>
    </xf>
    <xf numFmtId="4" fontId="17" fillId="0" borderId="1" xfId="2" applyNumberFormat="1" applyFont="1" applyBorder="1" applyAlignment="1">
      <alignment horizontal="center"/>
    </xf>
    <xf numFmtId="0" fontId="56" fillId="0" borderId="29" xfId="2" applyFont="1" applyBorder="1" applyAlignment="1">
      <alignment horizontal="center" vertical="top"/>
    </xf>
    <xf numFmtId="0" fontId="56" fillId="0" borderId="1" xfId="2" applyFont="1" applyBorder="1" applyAlignment="1">
      <alignment horizontal="center" vertical="top"/>
    </xf>
    <xf numFmtId="0" fontId="56" fillId="0" borderId="1" xfId="2" applyFont="1" applyBorder="1" applyAlignment="1">
      <alignment horizontal="left" vertical="justify"/>
    </xf>
    <xf numFmtId="0" fontId="56" fillId="0" borderId="1" xfId="2" applyFont="1" applyBorder="1" applyAlignment="1">
      <alignment horizontal="center"/>
    </xf>
    <xf numFmtId="4" fontId="18" fillId="2" borderId="1" xfId="2" applyNumberFormat="1" applyFont="1" applyFill="1" applyBorder="1" applyAlignment="1">
      <alignment horizontal="center" wrapText="1"/>
    </xf>
    <xf numFmtId="4" fontId="9" fillId="0" borderId="1" xfId="2" applyNumberFormat="1" applyFont="1" applyBorder="1" applyAlignment="1">
      <alignment horizontal="center" wrapText="1"/>
    </xf>
    <xf numFmtId="0" fontId="18" fillId="2" borderId="1" xfId="2" applyFont="1" applyFill="1" applyBorder="1" applyAlignment="1">
      <alignment horizontal="justify" vertical="justify" wrapText="1"/>
    </xf>
    <xf numFmtId="4" fontId="9" fillId="2" borderId="0" xfId="0" applyNumberFormat="1" applyFont="1" applyFill="1"/>
    <xf numFmtId="0" fontId="18" fillId="2" borderId="1" xfId="2" applyFont="1" applyFill="1" applyBorder="1" applyAlignment="1">
      <alignment horizontal="center" vertical="top" wrapText="1"/>
    </xf>
    <xf numFmtId="4" fontId="18" fillId="2" borderId="1" xfId="2" applyNumberFormat="1" applyFont="1" applyFill="1" applyBorder="1" applyAlignment="1">
      <alignment horizontal="left"/>
    </xf>
    <xf numFmtId="4" fontId="18" fillId="9" borderId="1" xfId="2" applyNumberFormat="1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43" fontId="9" fillId="0" borderId="12" xfId="12" applyFont="1" applyFill="1" applyBorder="1" applyAlignment="1">
      <alignment horizontal="center"/>
    </xf>
    <xf numFmtId="0" fontId="18" fillId="0" borderId="1" xfId="2" applyFont="1" applyBorder="1" applyAlignment="1">
      <alignment horizontal="left" vertical="justify" wrapText="1"/>
    </xf>
    <xf numFmtId="4" fontId="9" fillId="17" borderId="29" xfId="2" applyNumberFormat="1" applyFont="1" applyFill="1" applyBorder="1" applyAlignment="1">
      <alignment horizontal="left"/>
    </xf>
    <xf numFmtId="0" fontId="9" fillId="0" borderId="29" xfId="2" applyFont="1" applyBorder="1" applyAlignment="1">
      <alignment horizontal="center" vertical="top"/>
    </xf>
    <xf numFmtId="0" fontId="9" fillId="0" borderId="1" xfId="2" applyFont="1" applyBorder="1" applyAlignment="1">
      <alignment horizontal="center" vertical="top"/>
    </xf>
    <xf numFmtId="0" fontId="18" fillId="8" borderId="0" xfId="0" applyFont="1" applyFill="1"/>
    <xf numFmtId="43" fontId="17" fillId="0" borderId="0" xfId="12" applyFont="1" applyFill="1" applyBorder="1"/>
    <xf numFmtId="4" fontId="18" fillId="28" borderId="35" xfId="2" applyNumberFormat="1" applyFont="1" applyFill="1" applyBorder="1" applyAlignment="1">
      <alignment horizontal="center"/>
    </xf>
    <xf numFmtId="4" fontId="57" fillId="28" borderId="36" xfId="2" applyNumberFormat="1" applyFont="1" applyFill="1" applyBorder="1" applyAlignment="1">
      <alignment horizontal="center" vertical="center"/>
    </xf>
    <xf numFmtId="4" fontId="18" fillId="28" borderId="34" xfId="2" applyNumberFormat="1" applyFont="1" applyFill="1" applyBorder="1" applyAlignment="1">
      <alignment horizontal="left"/>
    </xf>
    <xf numFmtId="0" fontId="18" fillId="28" borderId="0" xfId="0" quotePrefix="1" applyFont="1" applyFill="1"/>
    <xf numFmtId="10" fontId="18" fillId="28" borderId="0" xfId="1" applyNumberFormat="1" applyFont="1" applyFill="1" applyBorder="1" applyAlignment="1">
      <alignment horizontal="left"/>
    </xf>
    <xf numFmtId="0" fontId="18" fillId="28" borderId="0" xfId="0" applyFont="1" applyFill="1"/>
    <xf numFmtId="0" fontId="18" fillId="28" borderId="34" xfId="2" applyFont="1" applyFill="1" applyBorder="1" applyAlignment="1">
      <alignment horizontal="center" vertical="center"/>
    </xf>
    <xf numFmtId="0" fontId="18" fillId="28" borderId="35" xfId="2" applyFont="1" applyFill="1" applyBorder="1" applyAlignment="1">
      <alignment horizontal="center" vertical="center"/>
    </xf>
    <xf numFmtId="4" fontId="18" fillId="28" borderId="35" xfId="2" applyNumberFormat="1" applyFont="1" applyFill="1" applyBorder="1" applyAlignment="1">
      <alignment horizontal="center" vertical="center"/>
    </xf>
    <xf numFmtId="4" fontId="18" fillId="28" borderId="36" xfId="2" applyNumberFormat="1" applyFont="1" applyFill="1" applyBorder="1" applyAlignment="1">
      <alignment horizontal="center" vertical="center"/>
    </xf>
    <xf numFmtId="4" fontId="18" fillId="28" borderId="34" xfId="2" applyNumberFormat="1" applyFont="1" applyFill="1" applyBorder="1" applyAlignment="1">
      <alignment horizontal="center" vertical="center" wrapText="1"/>
    </xf>
    <xf numFmtId="4" fontId="18" fillId="28" borderId="35" xfId="2" applyNumberFormat="1" applyFont="1" applyFill="1" applyBorder="1" applyAlignment="1">
      <alignment horizontal="center" vertical="center" wrapText="1"/>
    </xf>
    <xf numFmtId="4" fontId="18" fillId="28" borderId="36" xfId="2" applyNumberFormat="1" applyFont="1" applyFill="1" applyBorder="1" applyAlignment="1">
      <alignment horizontal="center" vertical="center" wrapText="1"/>
    </xf>
    <xf numFmtId="0" fontId="18" fillId="28" borderId="0" xfId="0" applyFont="1" applyFill="1" applyAlignment="1">
      <alignment horizontal="center" vertical="center"/>
    </xf>
    <xf numFmtId="0" fontId="9" fillId="28" borderId="0" xfId="0" applyFont="1" applyFill="1" applyAlignment="1">
      <alignment horizontal="left" vertical="center"/>
    </xf>
    <xf numFmtId="4" fontId="56" fillId="0" borderId="0" xfId="2" applyNumberFormat="1" applyFont="1" applyAlignment="1">
      <alignment horizontal="center"/>
    </xf>
    <xf numFmtId="43" fontId="17" fillId="0" borderId="0" xfId="12" applyFont="1" applyFill="1" applyBorder="1" applyAlignment="1">
      <alignment horizontal="center"/>
    </xf>
    <xf numFmtId="43" fontId="56" fillId="0" borderId="0" xfId="12" applyFont="1" applyFill="1" applyBorder="1" applyAlignment="1">
      <alignment horizontal="center"/>
    </xf>
    <xf numFmtId="0" fontId="9" fillId="0" borderId="1" xfId="2" quotePrefix="1" applyFont="1" applyBorder="1" applyAlignment="1">
      <alignment horizontal="center" vertical="top"/>
    </xf>
    <xf numFmtId="0" fontId="9" fillId="0" borderId="1" xfId="2" applyFont="1" applyBorder="1" applyAlignment="1">
      <alignment horizontal="justify" vertical="justify"/>
    </xf>
    <xf numFmtId="0" fontId="9" fillId="0" borderId="1" xfId="2" applyFont="1" applyBorder="1" applyAlignment="1">
      <alignment horizontal="justify" vertical="justify" wrapText="1"/>
    </xf>
    <xf numFmtId="0" fontId="9" fillId="0" borderId="1" xfId="2" applyFont="1" applyBorder="1" applyAlignment="1">
      <alignment horizontal="center" vertical="top" wrapText="1"/>
    </xf>
    <xf numFmtId="0" fontId="9" fillId="0" borderId="1" xfId="2" quotePrefix="1" applyFont="1" applyBorder="1" applyAlignment="1">
      <alignment horizontal="center" vertical="top" wrapText="1"/>
    </xf>
    <xf numFmtId="44" fontId="9" fillId="0" borderId="0" xfId="82" applyFont="1"/>
    <xf numFmtId="0" fontId="58" fillId="0" borderId="6" xfId="2" applyFont="1" applyBorder="1" applyAlignment="1">
      <alignment horizontal="center"/>
    </xf>
    <xf numFmtId="0" fontId="21" fillId="0" borderId="0" xfId="2" applyFont="1" applyAlignment="1">
      <alignment horizontal="left"/>
    </xf>
    <xf numFmtId="0" fontId="21" fillId="0" borderId="0" xfId="2" applyFont="1" applyAlignment="1">
      <alignment horizontal="left" vertical="top"/>
    </xf>
    <xf numFmtId="0" fontId="9" fillId="0" borderId="0" xfId="2" applyFont="1" applyAlignment="1">
      <alignment horizontal="center" vertical="top"/>
    </xf>
    <xf numFmtId="0" fontId="9" fillId="28" borderId="35" xfId="2" applyFont="1" applyFill="1" applyBorder="1" applyAlignment="1">
      <alignment horizontal="center" vertical="center"/>
    </xf>
    <xf numFmtId="0" fontId="9" fillId="0" borderId="32" xfId="2" applyFont="1" applyBorder="1" applyAlignment="1">
      <alignment horizontal="center" vertical="top"/>
    </xf>
    <xf numFmtId="0" fontId="9" fillId="17" borderId="1" xfId="2" applyFont="1" applyFill="1" applyBorder="1" applyAlignment="1">
      <alignment horizontal="center" vertical="top"/>
    </xf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61" fillId="0" borderId="0" xfId="0" applyFont="1"/>
    <xf numFmtId="0" fontId="62" fillId="0" borderId="0" xfId="2" applyFont="1" applyAlignment="1">
      <alignment horizontal="left" vertical="top"/>
    </xf>
    <xf numFmtId="0" fontId="63" fillId="0" borderId="0" xfId="0" applyFont="1"/>
    <xf numFmtId="0" fontId="64" fillId="0" borderId="0" xfId="0" applyFont="1" applyAlignment="1">
      <alignment wrapText="1"/>
    </xf>
    <xf numFmtId="0" fontId="65" fillId="0" borderId="0" xfId="0" applyFont="1" applyAlignment="1">
      <alignment wrapText="1"/>
    </xf>
    <xf numFmtId="0" fontId="63" fillId="0" borderId="98" xfId="0" applyFont="1" applyBorder="1"/>
    <xf numFmtId="0" fontId="62" fillId="29" borderId="0" xfId="0" applyFont="1" applyFill="1" applyAlignment="1">
      <alignment horizontal="center"/>
    </xf>
    <xf numFmtId="0" fontId="62" fillId="29" borderId="12" xfId="0" applyFont="1" applyFill="1" applyBorder="1" applyAlignment="1">
      <alignment horizontal="center" wrapText="1"/>
    </xf>
    <xf numFmtId="0" fontId="62" fillId="29" borderId="59" xfId="0" applyFont="1" applyFill="1" applyBorder="1" applyAlignment="1">
      <alignment horizontal="center" wrapText="1"/>
    </xf>
    <xf numFmtId="0" fontId="66" fillId="0" borderId="12" xfId="0" applyFont="1" applyBorder="1" applyAlignment="1">
      <alignment horizontal="center"/>
    </xf>
    <xf numFmtId="0" fontId="66" fillId="0" borderId="12" xfId="0" applyFont="1" applyBorder="1"/>
    <xf numFmtId="0" fontId="67" fillId="0" borderId="59" xfId="0" applyFont="1" applyBorder="1"/>
    <xf numFmtId="0" fontId="62" fillId="2" borderId="0" xfId="0" applyFont="1" applyFill="1"/>
    <xf numFmtId="0" fontId="66" fillId="2" borderId="13" xfId="0" applyFont="1" applyFill="1" applyBorder="1"/>
    <xf numFmtId="0" fontId="66" fillId="2" borderId="15" xfId="0" applyFont="1" applyFill="1" applyBorder="1"/>
    <xf numFmtId="0" fontId="68" fillId="0" borderId="12" xfId="0" applyFont="1" applyBorder="1" applyAlignment="1">
      <alignment horizontal="center"/>
    </xf>
    <xf numFmtId="0" fontId="68" fillId="0" borderId="12" xfId="0" applyFont="1" applyBorder="1"/>
    <xf numFmtId="2" fontId="68" fillId="0" borderId="12" xfId="0" applyNumberFormat="1" applyFont="1" applyBorder="1" applyAlignment="1">
      <alignment horizontal="center"/>
    </xf>
    <xf numFmtId="2" fontId="69" fillId="0" borderId="59" xfId="0" applyNumberFormat="1" applyFont="1" applyBorder="1" applyAlignment="1">
      <alignment horizontal="center"/>
    </xf>
    <xf numFmtId="0" fontId="66" fillId="2" borderId="12" xfId="0" applyFont="1" applyFill="1" applyBorder="1" applyAlignment="1">
      <alignment horizontal="center"/>
    </xf>
    <xf numFmtId="2" fontId="66" fillId="2" borderId="12" xfId="0" applyNumberFormat="1" applyFont="1" applyFill="1" applyBorder="1" applyAlignment="1">
      <alignment horizontal="center"/>
    </xf>
    <xf numFmtId="2" fontId="62" fillId="2" borderId="59" xfId="0" applyNumberFormat="1" applyFont="1" applyFill="1" applyBorder="1" applyAlignment="1">
      <alignment horizontal="center"/>
    </xf>
    <xf numFmtId="2" fontId="70" fillId="0" borderId="59" xfId="0" applyNumberFormat="1" applyFont="1" applyBorder="1" applyAlignment="1">
      <alignment horizontal="center"/>
    </xf>
    <xf numFmtId="0" fontId="68" fillId="0" borderId="12" xfId="0" applyFont="1" applyBorder="1" applyAlignment="1">
      <alignment wrapText="1"/>
    </xf>
    <xf numFmtId="2" fontId="64" fillId="13" borderId="12" xfId="0" applyNumberFormat="1" applyFont="1" applyFill="1" applyBorder="1" applyAlignment="1">
      <alignment horizontal="center"/>
    </xf>
    <xf numFmtId="2" fontId="62" fillId="29" borderId="59" xfId="0" applyNumberFormat="1" applyFont="1" applyFill="1" applyBorder="1" applyAlignment="1">
      <alignment horizontal="center"/>
    </xf>
    <xf numFmtId="2" fontId="71" fillId="14" borderId="12" xfId="0" applyNumberFormat="1" applyFont="1" applyFill="1" applyBorder="1" applyAlignment="1">
      <alignment horizontal="center"/>
    </xf>
    <xf numFmtId="2" fontId="11" fillId="6" borderId="25" xfId="9" applyNumberFormat="1" applyFont="1" applyFill="1" applyBorder="1" applyAlignment="1">
      <alignment horizontal="center" vertical="distributed" wrapText="1"/>
    </xf>
    <xf numFmtId="44" fontId="72" fillId="0" borderId="0" xfId="82" applyFont="1"/>
    <xf numFmtId="0" fontId="19" fillId="28" borderId="26" xfId="2" applyFont="1" applyFill="1" applyBorder="1" applyAlignment="1">
      <alignment horizontal="center" vertical="center" wrapText="1"/>
    </xf>
    <xf numFmtId="0" fontId="19" fillId="28" borderId="27" xfId="2" applyFont="1" applyFill="1" applyBorder="1" applyAlignment="1">
      <alignment horizontal="center" vertical="center" wrapText="1"/>
    </xf>
    <xf numFmtId="0" fontId="19" fillId="28" borderId="28" xfId="2" applyFont="1" applyFill="1" applyBorder="1" applyAlignment="1">
      <alignment horizontal="center" vertical="center" wrapText="1"/>
    </xf>
    <xf numFmtId="0" fontId="19" fillId="0" borderId="2" xfId="2" applyFont="1" applyBorder="1" applyAlignment="1">
      <alignment horizontal="center"/>
    </xf>
    <xf numFmtId="0" fontId="19" fillId="0" borderId="3" xfId="2" applyFont="1" applyBorder="1" applyAlignment="1">
      <alignment horizontal="center"/>
    </xf>
    <xf numFmtId="4" fontId="19" fillId="0" borderId="3" xfId="2" applyNumberFormat="1" applyFont="1" applyBorder="1" applyAlignment="1">
      <alignment horizontal="center"/>
    </xf>
    <xf numFmtId="0" fontId="19" fillId="0" borderId="4" xfId="2" applyFont="1" applyBorder="1" applyAlignment="1">
      <alignment horizontal="center"/>
    </xf>
    <xf numFmtId="0" fontId="19" fillId="0" borderId="5" xfId="2" applyFont="1" applyBorder="1" applyAlignment="1">
      <alignment horizontal="center"/>
    </xf>
    <xf numFmtId="0" fontId="19" fillId="0" borderId="6" xfId="2" applyFont="1" applyBorder="1" applyAlignment="1">
      <alignment horizontal="center"/>
    </xf>
    <xf numFmtId="0" fontId="19" fillId="0" borderId="7" xfId="2" applyFont="1" applyBorder="1" applyAlignment="1">
      <alignment horizontal="center"/>
    </xf>
    <xf numFmtId="0" fontId="19" fillId="0" borderId="8" xfId="2" applyFont="1" applyBorder="1" applyAlignment="1">
      <alignment horizontal="center"/>
    </xf>
    <xf numFmtId="0" fontId="19" fillId="0" borderId="9" xfId="2" applyFont="1" applyBorder="1" applyAlignment="1">
      <alignment horizontal="center"/>
    </xf>
    <xf numFmtId="0" fontId="19" fillId="0" borderId="10" xfId="2" applyFont="1" applyBorder="1" applyAlignment="1">
      <alignment horizontal="center"/>
    </xf>
    <xf numFmtId="4" fontId="18" fillId="2" borderId="26" xfId="2" applyNumberFormat="1" applyFont="1" applyFill="1" applyBorder="1" applyAlignment="1">
      <alignment horizontal="center" vertical="center" wrapText="1"/>
    </xf>
    <xf numFmtId="4" fontId="18" fillId="2" borderId="27" xfId="2" applyNumberFormat="1" applyFont="1" applyFill="1" applyBorder="1" applyAlignment="1">
      <alignment horizontal="center" vertical="center" wrapText="1"/>
    </xf>
    <xf numFmtId="4" fontId="18" fillId="2" borderId="28" xfId="2" applyNumberFormat="1" applyFont="1" applyFill="1" applyBorder="1" applyAlignment="1">
      <alignment horizontal="center" vertical="center" wrapText="1"/>
    </xf>
    <xf numFmtId="0" fontId="57" fillId="0" borderId="94" xfId="2" applyFont="1" applyBorder="1" applyAlignment="1">
      <alignment horizontal="center" vertical="top"/>
    </xf>
    <xf numFmtId="0" fontId="57" fillId="0" borderId="25" xfId="2" applyFont="1" applyBorder="1" applyAlignment="1">
      <alignment horizontal="center" vertical="top"/>
    </xf>
    <xf numFmtId="0" fontId="57" fillId="0" borderId="95" xfId="2" applyFont="1" applyBorder="1" applyAlignment="1">
      <alignment horizontal="center" vertical="top"/>
    </xf>
    <xf numFmtId="0" fontId="20" fillId="0" borderId="0" xfId="2" applyFont="1" applyAlignment="1">
      <alignment horizontal="left" wrapText="1"/>
    </xf>
    <xf numFmtId="0" fontId="20" fillId="0" borderId="12" xfId="2" applyFont="1" applyBorder="1" applyAlignment="1">
      <alignment horizontal="right" vertical="center"/>
    </xf>
    <xf numFmtId="4" fontId="20" fillId="0" borderId="12" xfId="2" applyNumberFormat="1" applyFont="1" applyBorder="1" applyAlignment="1">
      <alignment horizontal="center" vertical="center"/>
    </xf>
    <xf numFmtId="0" fontId="27" fillId="0" borderId="0" xfId="2" applyFont="1" applyAlignment="1">
      <alignment horizontal="center"/>
    </xf>
    <xf numFmtId="0" fontId="18" fillId="2" borderId="12" xfId="2" applyFont="1" applyFill="1" applyBorder="1" applyAlignment="1">
      <alignment horizontal="center" vertical="center"/>
    </xf>
    <xf numFmtId="0" fontId="18" fillId="2" borderId="12" xfId="2" applyFont="1" applyFill="1" applyBorder="1" applyAlignment="1">
      <alignment horizontal="center" vertical="center" wrapText="1"/>
    </xf>
    <xf numFmtId="4" fontId="18" fillId="2" borderId="12" xfId="2" applyNumberFormat="1" applyFont="1" applyFill="1" applyBorder="1" applyAlignment="1">
      <alignment horizontal="center"/>
    </xf>
    <xf numFmtId="0" fontId="18" fillId="7" borderId="12" xfId="2" applyFont="1" applyFill="1" applyBorder="1" applyAlignment="1">
      <alignment horizontal="center" vertical="center"/>
    </xf>
    <xf numFmtId="0" fontId="35" fillId="2" borderId="12" xfId="2" applyFont="1" applyFill="1" applyBorder="1" applyAlignment="1">
      <alignment horizontal="right" vertical="center"/>
    </xf>
    <xf numFmtId="172" fontId="10" fillId="21" borderId="62" xfId="0" applyNumberFormat="1" applyFont="1" applyFill="1" applyBorder="1" applyAlignment="1">
      <alignment horizontal="center" vertical="center" wrapText="1"/>
    </xf>
    <xf numFmtId="0" fontId="11" fillId="0" borderId="63" xfId="0" applyFont="1" applyBorder="1"/>
    <xf numFmtId="0" fontId="11" fillId="0" borderId="64" xfId="0" applyFont="1" applyBorder="1"/>
    <xf numFmtId="0" fontId="11" fillId="0" borderId="65" xfId="0" applyFont="1" applyBorder="1"/>
    <xf numFmtId="172" fontId="10" fillId="22" borderId="62" xfId="0" applyNumberFormat="1" applyFont="1" applyFill="1" applyBorder="1" applyAlignment="1">
      <alignment horizontal="center" vertical="center" wrapText="1"/>
    </xf>
    <xf numFmtId="0" fontId="10" fillId="12" borderId="39" xfId="0" applyFont="1" applyFill="1" applyBorder="1" applyAlignment="1">
      <alignment horizontal="center" vertical="center" wrapText="1"/>
    </xf>
    <xf numFmtId="0" fontId="10" fillId="12" borderId="40" xfId="0" applyFont="1" applyFill="1" applyBorder="1" applyAlignment="1">
      <alignment horizontal="center" vertical="center" wrapText="1"/>
    </xf>
    <xf numFmtId="0" fontId="10" fillId="12" borderId="41" xfId="0" applyFont="1" applyFill="1" applyBorder="1" applyAlignment="1">
      <alignment horizontal="center" vertical="center" wrapText="1"/>
    </xf>
    <xf numFmtId="0" fontId="10" fillId="12" borderId="42" xfId="0" applyFont="1" applyFill="1" applyBorder="1" applyAlignment="1">
      <alignment horizontal="center" vertical="center" wrapText="1"/>
    </xf>
    <xf numFmtId="0" fontId="10" fillId="12" borderId="43" xfId="0" applyFont="1" applyFill="1" applyBorder="1" applyAlignment="1">
      <alignment horizontal="center" vertical="center" wrapText="1"/>
    </xf>
    <xf numFmtId="0" fontId="10" fillId="12" borderId="44" xfId="0" applyFont="1" applyFill="1" applyBorder="1" applyAlignment="1">
      <alignment horizontal="center" vertical="center" wrapText="1"/>
    </xf>
    <xf numFmtId="171" fontId="10" fillId="9" borderId="32" xfId="9" applyNumberFormat="1" applyFont="1" applyFill="1" applyBorder="1" applyAlignment="1">
      <alignment horizontal="center" vertical="distributed" wrapText="1"/>
    </xf>
    <xf numFmtId="171" fontId="10" fillId="9" borderId="1" xfId="9" applyNumberFormat="1" applyFont="1" applyFill="1" applyBorder="1" applyAlignment="1">
      <alignment horizontal="center" vertical="distributed" wrapText="1"/>
    </xf>
    <xf numFmtId="171" fontId="10" fillId="0" borderId="52" xfId="9" applyNumberFormat="1" applyFont="1" applyFill="1" applyBorder="1" applyAlignment="1">
      <alignment horizontal="center" vertical="distributed" wrapText="1"/>
    </xf>
    <xf numFmtId="171" fontId="10" fillId="0" borderId="32" xfId="9" applyNumberFormat="1" applyFont="1" applyFill="1" applyBorder="1" applyAlignment="1">
      <alignment horizontal="center" vertical="distributed" wrapText="1"/>
    </xf>
    <xf numFmtId="171" fontId="10" fillId="0" borderId="51" xfId="9" applyNumberFormat="1" applyFont="1" applyFill="1" applyBorder="1" applyAlignment="1">
      <alignment horizontal="center" vertical="distributed" wrapText="1"/>
    </xf>
    <xf numFmtId="171" fontId="10" fillId="0" borderId="1" xfId="9" applyNumberFormat="1" applyFont="1" applyFill="1" applyBorder="1" applyAlignment="1">
      <alignment horizontal="center" vertical="distributed" wrapText="1"/>
    </xf>
    <xf numFmtId="0" fontId="10" fillId="0" borderId="32" xfId="9" applyNumberFormat="1" applyFont="1" applyBorder="1" applyAlignment="1">
      <alignment horizontal="center" vertical="distributed" wrapText="1"/>
    </xf>
    <xf numFmtId="0" fontId="10" fillId="0" borderId="53" xfId="9" applyNumberFormat="1" applyFont="1" applyBorder="1" applyAlignment="1">
      <alignment horizontal="center" vertical="distributed" wrapText="1"/>
    </xf>
    <xf numFmtId="165" fontId="10" fillId="9" borderId="1" xfId="9" applyFont="1" applyFill="1" applyBorder="1" applyAlignment="1">
      <alignment horizontal="right" vertical="center" wrapText="1"/>
    </xf>
    <xf numFmtId="0" fontId="10" fillId="2" borderId="1" xfId="9" applyNumberFormat="1" applyFont="1" applyFill="1" applyBorder="1" applyAlignment="1">
      <alignment horizontal="left" vertical="distributed" wrapText="1"/>
    </xf>
    <xf numFmtId="0" fontId="10" fillId="2" borderId="37" xfId="9" applyNumberFormat="1" applyFont="1" applyFill="1" applyBorder="1" applyAlignment="1">
      <alignment horizontal="left" vertical="distributed" wrapText="1"/>
    </xf>
    <xf numFmtId="165" fontId="10" fillId="9" borderId="45" xfId="9" applyFont="1" applyFill="1" applyBorder="1" applyAlignment="1">
      <alignment horizontal="center" vertical="center" wrapText="1"/>
    </xf>
    <xf numFmtId="172" fontId="10" fillId="13" borderId="12" xfId="9" applyNumberFormat="1" applyFont="1" applyFill="1" applyBorder="1" applyAlignment="1">
      <alignment horizontal="center" vertical="center" wrapText="1"/>
    </xf>
    <xf numFmtId="172" fontId="10" fillId="14" borderId="12" xfId="9" applyNumberFormat="1" applyFont="1" applyFill="1" applyBorder="1" applyAlignment="1">
      <alignment horizontal="center" vertical="center" wrapText="1"/>
    </xf>
    <xf numFmtId="165" fontId="10" fillId="4" borderId="12" xfId="9" applyFont="1" applyFill="1" applyBorder="1" applyAlignment="1">
      <alignment horizontal="center" vertical="distributed" wrapText="1"/>
    </xf>
    <xf numFmtId="165" fontId="10" fillId="3" borderId="12" xfId="9" applyFont="1" applyFill="1" applyBorder="1" applyAlignment="1">
      <alignment horizontal="center" vertical="distributed" wrapText="1"/>
    </xf>
    <xf numFmtId="165" fontId="10" fillId="9" borderId="48" xfId="9" applyFont="1" applyFill="1" applyBorder="1" applyAlignment="1">
      <alignment horizontal="center" vertical="distributed" wrapText="1"/>
    </xf>
    <xf numFmtId="165" fontId="10" fillId="9" borderId="49" xfId="9" applyFont="1" applyFill="1" applyBorder="1" applyAlignment="1">
      <alignment horizontal="center" vertical="distributed" wrapText="1"/>
    </xf>
    <xf numFmtId="0" fontId="16" fillId="6" borderId="14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0" fontId="16" fillId="6" borderId="15" xfId="0" applyFont="1" applyFill="1" applyBorder="1" applyAlignment="1">
      <alignment horizontal="center" vertical="center"/>
    </xf>
    <xf numFmtId="165" fontId="10" fillId="23" borderId="88" xfId="0" applyNumberFormat="1" applyFont="1" applyFill="1" applyBorder="1" applyAlignment="1">
      <alignment horizontal="center" vertical="center" wrapText="1"/>
    </xf>
    <xf numFmtId="0" fontId="11" fillId="0" borderId="89" xfId="0" applyFont="1" applyBorder="1"/>
    <xf numFmtId="165" fontId="10" fillId="24" borderId="88" xfId="0" applyNumberFormat="1" applyFont="1" applyFill="1" applyBorder="1" applyAlignment="1">
      <alignment horizontal="center" vertical="center" wrapText="1"/>
    </xf>
    <xf numFmtId="171" fontId="10" fillId="18" borderId="66" xfId="0" applyNumberFormat="1" applyFont="1" applyFill="1" applyBorder="1" applyAlignment="1">
      <alignment horizontal="center" vertical="center" wrapText="1"/>
    </xf>
    <xf numFmtId="0" fontId="11" fillId="9" borderId="67" xfId="0" applyFont="1" applyFill="1" applyBorder="1"/>
    <xf numFmtId="0" fontId="11" fillId="9" borderId="66" xfId="0" applyFont="1" applyFill="1" applyBorder="1"/>
    <xf numFmtId="0" fontId="11" fillId="9" borderId="82" xfId="0" applyFont="1" applyFill="1" applyBorder="1"/>
    <xf numFmtId="0" fontId="11" fillId="9" borderId="83" xfId="0" applyFont="1" applyFill="1" applyBorder="1"/>
    <xf numFmtId="0" fontId="10" fillId="0" borderId="69" xfId="0" applyFont="1" applyBorder="1" applyAlignment="1">
      <alignment horizontal="center" vertical="center" wrapText="1"/>
    </xf>
    <xf numFmtId="0" fontId="11" fillId="0" borderId="70" xfId="0" applyFont="1" applyBorder="1"/>
    <xf numFmtId="0" fontId="11" fillId="0" borderId="71" xfId="0" applyFont="1" applyBorder="1"/>
    <xf numFmtId="165" fontId="10" fillId="19" borderId="72" xfId="0" applyNumberFormat="1" applyFont="1" applyFill="1" applyBorder="1" applyAlignment="1">
      <alignment horizontal="right" vertical="center" wrapText="1"/>
    </xf>
    <xf numFmtId="0" fontId="11" fillId="0" borderId="76" xfId="0" applyFont="1" applyBorder="1"/>
    <xf numFmtId="0" fontId="11" fillId="0" borderId="68" xfId="0" applyFont="1" applyBorder="1"/>
    <xf numFmtId="0" fontId="10" fillId="20" borderId="73" xfId="0" applyFont="1" applyFill="1" applyBorder="1" applyAlignment="1">
      <alignment horizontal="justify" vertical="center" wrapText="1"/>
    </xf>
    <xf numFmtId="0" fontId="11" fillId="0" borderId="74" xfId="0" applyFont="1" applyBorder="1" applyAlignment="1">
      <alignment horizontal="justify"/>
    </xf>
    <xf numFmtId="0" fontId="11" fillId="0" borderId="75" xfId="0" applyFont="1" applyBorder="1" applyAlignment="1">
      <alignment horizontal="justify"/>
    </xf>
    <xf numFmtId="0" fontId="11" fillId="0" borderId="77" xfId="0" applyFont="1" applyBorder="1" applyAlignment="1">
      <alignment horizontal="justify"/>
    </xf>
    <xf numFmtId="0" fontId="11" fillId="0" borderId="0" xfId="0" applyFont="1" applyAlignment="1">
      <alignment horizontal="justify"/>
    </xf>
    <xf numFmtId="0" fontId="11" fillId="0" borderId="78" xfId="0" applyFont="1" applyBorder="1" applyAlignment="1">
      <alignment horizontal="justify"/>
    </xf>
    <xf numFmtId="165" fontId="10" fillId="19" borderId="81" xfId="0" applyNumberFormat="1" applyFont="1" applyFill="1" applyBorder="1" applyAlignment="1">
      <alignment horizontal="center" vertical="center" wrapText="1"/>
    </xf>
    <xf numFmtId="0" fontId="11" fillId="0" borderId="84" xfId="0" applyFont="1" applyBorder="1"/>
    <xf numFmtId="0" fontId="51" fillId="0" borderId="0" xfId="6" applyFont="1" applyAlignment="1">
      <alignment horizontal="justify" wrapText="1"/>
    </xf>
    <xf numFmtId="0" fontId="26" fillId="0" borderId="0" xfId="19" applyFont="1" applyAlignment="1">
      <alignment horizontal="justify" wrapText="1"/>
    </xf>
    <xf numFmtId="0" fontId="54" fillId="0" borderId="14" xfId="0" applyFont="1" applyBorder="1" applyAlignment="1">
      <alignment horizontal="left" vertical="justify" wrapText="1"/>
    </xf>
    <xf numFmtId="0" fontId="54" fillId="0" borderId="13" xfId="0" applyFont="1" applyBorder="1" applyAlignment="1">
      <alignment horizontal="left" vertical="justify" wrapText="1"/>
    </xf>
    <xf numFmtId="0" fontId="54" fillId="0" borderId="15" xfId="0" applyFont="1" applyBorder="1" applyAlignment="1">
      <alignment horizontal="left" vertical="justify" wrapText="1"/>
    </xf>
    <xf numFmtId="0" fontId="41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top" wrapText="1"/>
    </xf>
    <xf numFmtId="0" fontId="59" fillId="0" borderId="48" xfId="0" applyFont="1" applyBorder="1" applyAlignment="1">
      <alignment horizontal="center"/>
    </xf>
    <xf numFmtId="0" fontId="59" fillId="0" borderId="96" xfId="0" applyFont="1" applyBorder="1" applyAlignment="1">
      <alignment horizontal="center"/>
    </xf>
    <xf numFmtId="0" fontId="59" fillId="0" borderId="97" xfId="0" applyFont="1" applyBorder="1" applyAlignment="1">
      <alignment horizontal="center"/>
    </xf>
    <xf numFmtId="0" fontId="59" fillId="0" borderId="5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59" fillId="0" borderId="57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0" fillId="0" borderId="98" xfId="0" applyFont="1" applyBorder="1" applyAlignment="1">
      <alignment horizontal="center"/>
    </xf>
    <xf numFmtId="0" fontId="60" fillId="0" borderId="99" xfId="0" applyFont="1" applyBorder="1" applyAlignment="1">
      <alignment horizontal="center"/>
    </xf>
    <xf numFmtId="0" fontId="62" fillId="29" borderId="58" xfId="0" applyFont="1" applyFill="1" applyBorder="1" applyAlignment="1">
      <alignment horizontal="center" vertical="center"/>
    </xf>
    <xf numFmtId="0" fontId="62" fillId="29" borderId="60" xfId="0" applyFont="1" applyFill="1" applyBorder="1" applyAlignment="1">
      <alignment horizontal="center" vertical="center"/>
    </xf>
    <xf numFmtId="0" fontId="62" fillId="29" borderId="14" xfId="0" applyFont="1" applyFill="1" applyBorder="1" applyAlignment="1">
      <alignment horizontal="center"/>
    </xf>
    <xf numFmtId="0" fontId="62" fillId="29" borderId="15" xfId="0" applyFont="1" applyFill="1" applyBorder="1" applyAlignment="1">
      <alignment horizontal="center"/>
    </xf>
    <xf numFmtId="0" fontId="64" fillId="2" borderId="14" xfId="0" applyFont="1" applyFill="1" applyBorder="1" applyAlignment="1">
      <alignment horizontal="center"/>
    </xf>
    <xf numFmtId="0" fontId="64" fillId="2" borderId="13" xfId="0" applyFont="1" applyFill="1" applyBorder="1" applyAlignment="1">
      <alignment horizontal="center"/>
    </xf>
    <xf numFmtId="0" fontId="64" fillId="2" borderId="15" xfId="0" applyFont="1" applyFill="1" applyBorder="1" applyAlignment="1">
      <alignment horizontal="center"/>
    </xf>
    <xf numFmtId="0" fontId="64" fillId="5" borderId="14" xfId="0" applyFont="1" applyFill="1" applyBorder="1" applyAlignment="1">
      <alignment horizontal="center"/>
    </xf>
    <xf numFmtId="0" fontId="64" fillId="5" borderId="15" xfId="0" applyFont="1" applyFill="1" applyBorder="1" applyAlignment="1">
      <alignment horizontal="center"/>
    </xf>
  </cellXfs>
  <cellStyles count="83">
    <cellStyle name="Moeda" xfId="82" builtinId="4"/>
    <cellStyle name="Moeda 2" xfId="10" xr:uid="{00000000-0005-0000-0000-000001000000}"/>
    <cellStyle name="Moeda 3" xfId="15" xr:uid="{00000000-0005-0000-0000-000002000000}"/>
    <cellStyle name="Moeda 3 2" xfId="45" xr:uid="{EED6F780-9E54-4F2F-BDFE-858F292F8FDC}"/>
    <cellStyle name="Moeda 4" xfId="72" xr:uid="{308A825F-D538-40D0-89DD-1787A6B292B8}"/>
    <cellStyle name="Normal" xfId="0" builtinId="0"/>
    <cellStyle name="Normal 10" xfId="63" xr:uid="{68841A04-6E19-4600-B5F1-70E48D02EA93}"/>
    <cellStyle name="Normal 10 2" xfId="81" xr:uid="{9F964DA3-2AD4-4AD6-95DA-9C281DAE8197}"/>
    <cellStyle name="Normal 19" xfId="58" xr:uid="{DE612FF0-C77A-4370-9241-4DDACB7FCD44}"/>
    <cellStyle name="Normal 2" xfId="3" xr:uid="{00000000-0005-0000-0000-000004000000}"/>
    <cellStyle name="Normal 2 2" xfId="5" xr:uid="{00000000-0005-0000-0000-000005000000}"/>
    <cellStyle name="Normal 2 2 2" xfId="57" xr:uid="{C7EBEF00-CF54-4E90-9C20-CE0BBA4A3F18}"/>
    <cellStyle name="Normal 2 2 3" xfId="70" xr:uid="{AA6EE323-46E7-4326-8A9C-569D1BA6C2FE}"/>
    <cellStyle name="Normal 2 3" xfId="16" xr:uid="{00000000-0005-0000-0000-000006000000}"/>
    <cellStyle name="Normal 2 3 2" xfId="17" xr:uid="{00000000-0005-0000-0000-000007000000}"/>
    <cellStyle name="Normal 2 4" xfId="18" xr:uid="{00000000-0005-0000-0000-000008000000}"/>
    <cellStyle name="Normal 2 5" xfId="38" xr:uid="{00000000-0005-0000-0000-000009000000}"/>
    <cellStyle name="Normal 2 6" xfId="68" xr:uid="{F08EA3B4-B9A1-496C-BAB9-2312383868C1}"/>
    <cellStyle name="Normal 3" xfId="6" xr:uid="{00000000-0005-0000-0000-00000A000000}"/>
    <cellStyle name="Normal 3 2" xfId="19" xr:uid="{00000000-0005-0000-0000-00000B000000}"/>
    <cellStyle name="Normal 3 2 2" xfId="20" xr:uid="{00000000-0005-0000-0000-00000C000000}"/>
    <cellStyle name="Normal 3 2 3" xfId="36" xr:uid="{00000000-0005-0000-0000-00000D000000}"/>
    <cellStyle name="Normal 3 3" xfId="21" xr:uid="{00000000-0005-0000-0000-00000E000000}"/>
    <cellStyle name="Normal 4" xfId="11" xr:uid="{00000000-0005-0000-0000-00000F000000}"/>
    <cellStyle name="Normal 4 2" xfId="13" xr:uid="{00000000-0005-0000-0000-000010000000}"/>
    <cellStyle name="Normal 4 2 2" xfId="51" xr:uid="{01633513-2C32-4E51-909A-583D9D54FBED}"/>
    <cellStyle name="Normal 5" xfId="14" xr:uid="{00000000-0005-0000-0000-000011000000}"/>
    <cellStyle name="Normal 5 3" xfId="52" xr:uid="{9614A879-9E33-4041-820C-2FC000AEA9A9}"/>
    <cellStyle name="Normal 6" xfId="22" xr:uid="{00000000-0005-0000-0000-000012000000}"/>
    <cellStyle name="Normal 7" xfId="23" xr:uid="{00000000-0005-0000-0000-000013000000}"/>
    <cellStyle name="Normal 7 2" xfId="60" xr:uid="{C35FF795-C6AC-4ECC-A8DA-DB81FCAA035A}"/>
    <cellStyle name="Normal 8" xfId="56" xr:uid="{445DE8F1-FF5E-4BB4-9CDE-379E69B5C615}"/>
    <cellStyle name="Normal 8 2" xfId="80" xr:uid="{B1F98701-FB86-40BF-BEB2-FDDB71D9C2C3}"/>
    <cellStyle name="Normal 9" xfId="62" xr:uid="{D57DECCA-D3D9-4183-9A05-2DC6E6690DA5}"/>
    <cellStyle name="Normal_cronograma 6 meses 2" xfId="2" xr:uid="{00000000-0005-0000-0000-000014000000}"/>
    <cellStyle name="Normal_Pesquisa no referencial 10 de maio de 2013" xfId="40" xr:uid="{3C7B7850-80CD-4A18-8FEA-91D854FEA48B}"/>
    <cellStyle name="Porcentagem" xfId="1" builtinId="5"/>
    <cellStyle name="Porcentagem 2" xfId="7" xr:uid="{00000000-0005-0000-0000-000016000000}"/>
    <cellStyle name="Porcentagem 2 2" xfId="24" xr:uid="{00000000-0005-0000-0000-000017000000}"/>
    <cellStyle name="Porcentagem 2 2 2" xfId="25" xr:uid="{00000000-0005-0000-0000-000018000000}"/>
    <cellStyle name="Porcentagem 3" xfId="26" xr:uid="{00000000-0005-0000-0000-000019000000}"/>
    <cellStyle name="Porcentagem 4" xfId="53" xr:uid="{DD551FBE-25FE-4F2B-A525-3DB712C4DA07}"/>
    <cellStyle name="Porcentagem 5" xfId="67" xr:uid="{71DD4BC3-6A64-46CF-9255-B1B6777DB907}"/>
    <cellStyle name="Porcentagem 6" xfId="61" xr:uid="{7E322EE9-5C01-4EB6-B626-8604B2877290}"/>
    <cellStyle name="Separador de milhares 2" xfId="8" xr:uid="{00000000-0005-0000-0000-00001A000000}"/>
    <cellStyle name="Separador de milhares 2 2" xfId="27" xr:uid="{00000000-0005-0000-0000-00001B000000}"/>
    <cellStyle name="Separador de milhares 2 2 2" xfId="28" xr:uid="{00000000-0005-0000-0000-00001C000000}"/>
    <cellStyle name="Separador de milhares 2 2 2 2" xfId="46" xr:uid="{F5A24B16-D8AE-4B39-AD01-7B0607BF66B5}"/>
    <cellStyle name="Separador de milhares 2 2 2 2 2" xfId="73" xr:uid="{A9C630EB-6D7E-4D7A-A631-99F0E34D33BC}"/>
    <cellStyle name="Separador de milhares 3" xfId="4" xr:uid="{00000000-0005-0000-0000-00001D000000}"/>
    <cellStyle name="Separador de milhares 3 2" xfId="35" xr:uid="{00000000-0005-0000-0000-00001E000000}"/>
    <cellStyle name="Separador de milhares 3 3" xfId="42" xr:uid="{F9698006-172E-4AA3-B0A8-3EA52AC203E8}"/>
    <cellStyle name="Separador de milhares 3 3 2" xfId="69" xr:uid="{3894E608-B0B2-4E6B-8A7D-324961924474}"/>
    <cellStyle name="Separador de milhares 4" xfId="29" xr:uid="{00000000-0005-0000-0000-00001F000000}"/>
    <cellStyle name="Separador de milhares 4 2" xfId="30" xr:uid="{00000000-0005-0000-0000-000020000000}"/>
    <cellStyle name="Separador de milhares 4 2 2" xfId="48" xr:uid="{9DFE85F6-79F5-40AC-9E5F-E06BE2C140A6}"/>
    <cellStyle name="Separador de milhares 4 2 2 2" xfId="75" xr:uid="{263D1D94-327B-47B9-B532-CD7F732CBFEB}"/>
    <cellStyle name="Separador de milhares 4 3" xfId="31" xr:uid="{00000000-0005-0000-0000-000021000000}"/>
    <cellStyle name="Separador de milhares 4 4" xfId="37" xr:uid="{00000000-0005-0000-0000-000022000000}"/>
    <cellStyle name="Separador de milhares 4 5" xfId="47" xr:uid="{0866ABD1-9EC8-4ACF-BC5E-6D1182E408E2}"/>
    <cellStyle name="Separador de milhares 4 5 2" xfId="74" xr:uid="{D9F2B8EF-DA7F-4F99-9C22-5A387755416E}"/>
    <cellStyle name="Separador de milhares 5" xfId="32" xr:uid="{00000000-0005-0000-0000-000023000000}"/>
    <cellStyle name="Separador de milhares 5 2" xfId="49" xr:uid="{3D6E587F-D29E-4539-9094-E4C145D41E4C}"/>
    <cellStyle name="Separador de milhares 5 2 2" xfId="76" xr:uid="{C8247E73-9D14-4427-906C-DD8A6F37DA82}"/>
    <cellStyle name="Vírgula" xfId="12" builtinId="3"/>
    <cellStyle name="Vírgula 2" xfId="9" xr:uid="{00000000-0005-0000-0000-000025000000}"/>
    <cellStyle name="Vírgula 2 2" xfId="33" xr:uid="{00000000-0005-0000-0000-000026000000}"/>
    <cellStyle name="Vírgula 2 2 2" xfId="41" xr:uid="{8BCF6FCD-88E4-4A55-90F8-FE38DBBF9A7B}"/>
    <cellStyle name="Vírgula 2 2 3" xfId="39" xr:uid="{00000000-0005-0000-0000-000027000000}"/>
    <cellStyle name="Vírgula 2 3" xfId="59" xr:uid="{C71585FD-C291-464A-8CF0-0416EFF06C77}"/>
    <cellStyle name="Vírgula 2 3 2" xfId="66" xr:uid="{B986A298-88DA-4F9A-A31B-EB1920D39A3D}"/>
    <cellStyle name="Vírgula 2 4" xfId="54" xr:uid="{B5BF8353-720E-4EFE-A35F-BF4C8D9552C3}"/>
    <cellStyle name="Vírgula 2 4 2" xfId="78" xr:uid="{EA72ECE4-75FF-48B6-BBB9-F95D11997EA1}"/>
    <cellStyle name="Vírgula 2 5" xfId="43" xr:uid="{76A9ACDC-CF4B-4178-94F8-F68AEC136D93}"/>
    <cellStyle name="Vírgula 2 5 2" xfId="65" xr:uid="{30549838-FCAD-48D8-B5A2-5F001166A489}"/>
    <cellStyle name="Vírgula 3" xfId="34" xr:uid="{00000000-0005-0000-0000-000028000000}"/>
    <cellStyle name="Vírgula 3 2" xfId="50" xr:uid="{CB86E8ED-1A42-4496-84E9-F81DEF2A4037}"/>
    <cellStyle name="Vírgula 3 2 2" xfId="77" xr:uid="{E1DCA4F0-1078-40C0-B8DF-071EBD6E65BD}"/>
    <cellStyle name="Vírgula 4" xfId="55" xr:uid="{2FA18064-4B86-4C88-9411-4251D79A588F}"/>
    <cellStyle name="Vírgula 4 2" xfId="79" xr:uid="{021E03CB-6E58-4AEB-B4B9-DFE9428B2F4D}"/>
    <cellStyle name="Vírgula 5" xfId="44" xr:uid="{FED1BA4D-5ADC-4BEB-BF5A-1C058410CF05}"/>
    <cellStyle name="Vírgula 5 2" xfId="64" xr:uid="{60510FB0-DAB8-4980-B4BE-5CC0B84DA83E}"/>
    <cellStyle name="Vírgula 6" xfId="71" xr:uid="{EB0B241A-9D01-43C6-A29D-2E2B0BDB71E4}"/>
  </cellStyles>
  <dxfs count="2"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100853</xdr:colOff>
      <xdr:row>107</xdr:row>
      <xdr:rowOff>0</xdr:rowOff>
    </xdr:from>
    <xdr:ext cx="5010149" cy="3237160"/>
    <xdr:pic>
      <xdr:nvPicPr>
        <xdr:cNvPr id="2" name="Imagem 1" descr="Tabela-GG-50.jpg">
          <a:extLst>
            <a:ext uri="{FF2B5EF4-FFF2-40B4-BE49-F238E27FC236}">
              <a16:creationId xmlns:a16="http://schemas.microsoft.com/office/drawing/2014/main" id="{A565786D-E8CD-45E7-922C-8B835715F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0053" y="153933525"/>
          <a:ext cx="5010149" cy="32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100853</xdr:colOff>
      <xdr:row>107</xdr:row>
      <xdr:rowOff>0</xdr:rowOff>
    </xdr:from>
    <xdr:ext cx="5010149" cy="3237160"/>
    <xdr:pic>
      <xdr:nvPicPr>
        <xdr:cNvPr id="3" name="Imagem 2" descr="Tabela-GG-50.jpg">
          <a:extLst>
            <a:ext uri="{FF2B5EF4-FFF2-40B4-BE49-F238E27FC236}">
              <a16:creationId xmlns:a16="http://schemas.microsoft.com/office/drawing/2014/main" id="{A01C1F67-42FA-416E-BE9D-B58131E5E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0053" y="153933525"/>
          <a:ext cx="5010149" cy="32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100853</xdr:colOff>
      <xdr:row>107</xdr:row>
      <xdr:rowOff>0</xdr:rowOff>
    </xdr:from>
    <xdr:ext cx="5010149" cy="3237160"/>
    <xdr:pic>
      <xdr:nvPicPr>
        <xdr:cNvPr id="4" name="Imagem 3" descr="Tabela-GG-50.jpg">
          <a:extLst>
            <a:ext uri="{FF2B5EF4-FFF2-40B4-BE49-F238E27FC236}">
              <a16:creationId xmlns:a16="http://schemas.microsoft.com/office/drawing/2014/main" id="{65B68CA7-00BF-4751-99A1-6352D331E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0053" y="153933525"/>
          <a:ext cx="5010149" cy="32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100853</xdr:colOff>
      <xdr:row>107</xdr:row>
      <xdr:rowOff>0</xdr:rowOff>
    </xdr:from>
    <xdr:ext cx="5010149" cy="3237160"/>
    <xdr:pic>
      <xdr:nvPicPr>
        <xdr:cNvPr id="5" name="Imagem 4" descr="Tabela-GG-50.jpg">
          <a:extLst>
            <a:ext uri="{FF2B5EF4-FFF2-40B4-BE49-F238E27FC236}">
              <a16:creationId xmlns:a16="http://schemas.microsoft.com/office/drawing/2014/main" id="{BD78D3A0-8541-4D28-9A67-B0DE22079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0053" y="153933525"/>
          <a:ext cx="5010149" cy="32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100853</xdr:colOff>
      <xdr:row>107</xdr:row>
      <xdr:rowOff>0</xdr:rowOff>
    </xdr:from>
    <xdr:ext cx="5010149" cy="3237160"/>
    <xdr:pic>
      <xdr:nvPicPr>
        <xdr:cNvPr id="6" name="Imagem 5" descr="Tabela-GG-50.jpg">
          <a:extLst>
            <a:ext uri="{FF2B5EF4-FFF2-40B4-BE49-F238E27FC236}">
              <a16:creationId xmlns:a16="http://schemas.microsoft.com/office/drawing/2014/main" id="{6C1CAC52-B6E3-448D-A82C-B93D26459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0053" y="153933525"/>
          <a:ext cx="5010149" cy="32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648647</xdr:colOff>
      <xdr:row>10</xdr:row>
      <xdr:rowOff>0</xdr:rowOff>
    </xdr:from>
    <xdr:ext cx="5010149" cy="3237160"/>
    <xdr:pic>
      <xdr:nvPicPr>
        <xdr:cNvPr id="7" name="Imagem 6" descr="Tabela-GG-50.jpg">
          <a:extLst>
            <a:ext uri="{FF2B5EF4-FFF2-40B4-BE49-F238E27FC236}">
              <a16:creationId xmlns:a16="http://schemas.microsoft.com/office/drawing/2014/main" id="{514E4ABE-1A38-4BAC-8F2F-2BF76FC58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97847" y="2466975"/>
          <a:ext cx="5010149" cy="32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11</xdr:col>
      <xdr:colOff>56029</xdr:colOff>
      <xdr:row>33</xdr:row>
      <xdr:rowOff>56030</xdr:rowOff>
    </xdr:from>
    <xdr:to>
      <xdr:col>13</xdr:col>
      <xdr:colOff>22411</xdr:colOff>
      <xdr:row>34</xdr:row>
      <xdr:rowOff>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CE9DA483-72AA-4221-9F49-23C9C5405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648204" y="49452680"/>
          <a:ext cx="1661832" cy="372595"/>
        </a:xfrm>
        <a:prstGeom prst="rect">
          <a:avLst/>
        </a:prstGeom>
        <a:noFill/>
      </xdr:spPr>
    </xdr:pic>
    <xdr:clientData/>
  </xdr:twoCellAnchor>
  <xdr:twoCellAnchor>
    <xdr:from>
      <xdr:col>11</xdr:col>
      <xdr:colOff>56029</xdr:colOff>
      <xdr:row>32</xdr:row>
      <xdr:rowOff>56030</xdr:rowOff>
    </xdr:from>
    <xdr:to>
      <xdr:col>13</xdr:col>
      <xdr:colOff>22411</xdr:colOff>
      <xdr:row>33</xdr:row>
      <xdr:rowOff>0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BACA1854-4751-4B6D-B1DD-959554062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648204" y="39737180"/>
          <a:ext cx="1661832" cy="515470"/>
        </a:xfrm>
        <a:prstGeom prst="rect">
          <a:avLst/>
        </a:prstGeom>
        <a:noFill/>
      </xdr:spPr>
    </xdr:pic>
    <xdr:clientData/>
  </xdr:twoCellAnchor>
  <xdr:twoCellAnchor>
    <xdr:from>
      <xdr:col>11</xdr:col>
      <xdr:colOff>56029</xdr:colOff>
      <xdr:row>35</xdr:row>
      <xdr:rowOff>56030</xdr:rowOff>
    </xdr:from>
    <xdr:to>
      <xdr:col>13</xdr:col>
      <xdr:colOff>22411</xdr:colOff>
      <xdr:row>36</xdr:row>
      <xdr:rowOff>0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B6B88793-8D3A-4BEA-82C4-42F2D50B6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648204" y="53043605"/>
          <a:ext cx="1661832" cy="372595"/>
        </a:xfrm>
        <a:prstGeom prst="rect">
          <a:avLst/>
        </a:prstGeom>
        <a:noFill/>
      </xdr:spPr>
    </xdr:pic>
    <xdr:clientData/>
  </xdr:twoCellAnchor>
  <xdr:twoCellAnchor>
    <xdr:from>
      <xdr:col>11</xdr:col>
      <xdr:colOff>56029</xdr:colOff>
      <xdr:row>34</xdr:row>
      <xdr:rowOff>56030</xdr:rowOff>
    </xdr:from>
    <xdr:to>
      <xdr:col>13</xdr:col>
      <xdr:colOff>22411</xdr:colOff>
      <xdr:row>35</xdr:row>
      <xdr:rowOff>0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54BD26EE-273D-45F6-A031-05FD4F759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648204" y="51167180"/>
          <a:ext cx="1661832" cy="372595"/>
        </a:xfrm>
        <a:prstGeom prst="rect">
          <a:avLst/>
        </a:prstGeom>
        <a:noFill/>
      </xdr:spPr>
    </xdr:pic>
    <xdr:clientData/>
  </xdr:twoCellAnchor>
  <xdr:twoCellAnchor>
    <xdr:from>
      <xdr:col>11</xdr:col>
      <xdr:colOff>56029</xdr:colOff>
      <xdr:row>38</xdr:row>
      <xdr:rowOff>56030</xdr:rowOff>
    </xdr:from>
    <xdr:to>
      <xdr:col>13</xdr:col>
      <xdr:colOff>22411</xdr:colOff>
      <xdr:row>39</xdr:row>
      <xdr:rowOff>0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C8D22958-9B09-4201-9BF8-6F5DE19FA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648204" y="59044355"/>
          <a:ext cx="1661832" cy="372595"/>
        </a:xfrm>
        <a:prstGeom prst="rect">
          <a:avLst/>
        </a:prstGeom>
        <a:noFill/>
      </xdr:spPr>
    </xdr:pic>
    <xdr:clientData/>
  </xdr:twoCellAnchor>
  <xdr:twoCellAnchor>
    <xdr:from>
      <xdr:col>11</xdr:col>
      <xdr:colOff>56029</xdr:colOff>
      <xdr:row>37</xdr:row>
      <xdr:rowOff>56030</xdr:rowOff>
    </xdr:from>
    <xdr:to>
      <xdr:col>13</xdr:col>
      <xdr:colOff>22411</xdr:colOff>
      <xdr:row>38</xdr:row>
      <xdr:rowOff>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D9664090-6C08-4565-8113-12CEDE006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648204" y="56758355"/>
          <a:ext cx="1661832" cy="372595"/>
        </a:xfrm>
        <a:prstGeom prst="rect">
          <a:avLst/>
        </a:prstGeom>
        <a:noFill/>
      </xdr:spPr>
    </xdr:pic>
    <xdr:clientData/>
  </xdr:twoCellAnchor>
  <xdr:twoCellAnchor>
    <xdr:from>
      <xdr:col>11</xdr:col>
      <xdr:colOff>56029</xdr:colOff>
      <xdr:row>29</xdr:row>
      <xdr:rowOff>56030</xdr:rowOff>
    </xdr:from>
    <xdr:to>
      <xdr:col>13</xdr:col>
      <xdr:colOff>22411</xdr:colOff>
      <xdr:row>30</xdr:row>
      <xdr:rowOff>0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4AA7921F-C00C-4387-86EC-5CDA8B15E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648204" y="35889080"/>
          <a:ext cx="1661832" cy="372595"/>
        </a:xfrm>
        <a:prstGeom prst="rect">
          <a:avLst/>
        </a:prstGeom>
        <a:noFill/>
      </xdr:spPr>
    </xdr:pic>
    <xdr:clientData/>
  </xdr:twoCellAnchor>
  <xdr:twoCellAnchor>
    <xdr:from>
      <xdr:col>11</xdr:col>
      <xdr:colOff>56029</xdr:colOff>
      <xdr:row>28</xdr:row>
      <xdr:rowOff>56030</xdr:rowOff>
    </xdr:from>
    <xdr:to>
      <xdr:col>13</xdr:col>
      <xdr:colOff>22411</xdr:colOff>
      <xdr:row>29</xdr:row>
      <xdr:rowOff>0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E44FF292-F88A-4A0D-8E55-9965677AD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648204" y="34460330"/>
          <a:ext cx="1661832" cy="37259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100853</xdr:colOff>
      <xdr:row>847</xdr:row>
      <xdr:rowOff>0</xdr:rowOff>
    </xdr:from>
    <xdr:ext cx="5010149" cy="3237160"/>
    <xdr:pic>
      <xdr:nvPicPr>
        <xdr:cNvPr id="2" name="Imagem 1" descr="Tabela-GG-50.jpg">
          <a:extLst>
            <a:ext uri="{FF2B5EF4-FFF2-40B4-BE49-F238E27FC236}">
              <a16:creationId xmlns:a16="http://schemas.microsoft.com/office/drawing/2014/main" id="{FE2A8593-2759-4336-A242-A29953C71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0053" y="153933525"/>
          <a:ext cx="5010149" cy="32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100853</xdr:colOff>
      <xdr:row>847</xdr:row>
      <xdr:rowOff>0</xdr:rowOff>
    </xdr:from>
    <xdr:ext cx="5010149" cy="3237160"/>
    <xdr:pic>
      <xdr:nvPicPr>
        <xdr:cNvPr id="3" name="Imagem 2" descr="Tabela-GG-50.jpg">
          <a:extLst>
            <a:ext uri="{FF2B5EF4-FFF2-40B4-BE49-F238E27FC236}">
              <a16:creationId xmlns:a16="http://schemas.microsoft.com/office/drawing/2014/main" id="{64154BC8-237F-463F-8338-63F029884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0053" y="153933525"/>
          <a:ext cx="5010149" cy="32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100853</xdr:colOff>
      <xdr:row>847</xdr:row>
      <xdr:rowOff>0</xdr:rowOff>
    </xdr:from>
    <xdr:ext cx="5010149" cy="3237160"/>
    <xdr:pic>
      <xdr:nvPicPr>
        <xdr:cNvPr id="4" name="Imagem 3" descr="Tabela-GG-50.jpg">
          <a:extLst>
            <a:ext uri="{FF2B5EF4-FFF2-40B4-BE49-F238E27FC236}">
              <a16:creationId xmlns:a16="http://schemas.microsoft.com/office/drawing/2014/main" id="{F62EB9AC-EF8C-4FA9-9557-48816A07F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0053" y="153933525"/>
          <a:ext cx="5010149" cy="32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100853</xdr:colOff>
      <xdr:row>847</xdr:row>
      <xdr:rowOff>0</xdr:rowOff>
    </xdr:from>
    <xdr:ext cx="5010149" cy="3237160"/>
    <xdr:pic>
      <xdr:nvPicPr>
        <xdr:cNvPr id="5" name="Imagem 4" descr="Tabela-GG-50.jpg">
          <a:extLst>
            <a:ext uri="{FF2B5EF4-FFF2-40B4-BE49-F238E27FC236}">
              <a16:creationId xmlns:a16="http://schemas.microsoft.com/office/drawing/2014/main" id="{BA6882FA-65A8-4A64-BBA9-BDAD4B551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0053" y="153933525"/>
          <a:ext cx="5010149" cy="32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100853</xdr:colOff>
      <xdr:row>847</xdr:row>
      <xdr:rowOff>0</xdr:rowOff>
    </xdr:from>
    <xdr:ext cx="5010149" cy="3237160"/>
    <xdr:pic>
      <xdr:nvPicPr>
        <xdr:cNvPr id="6" name="Imagem 5" descr="Tabela-GG-50.jpg">
          <a:extLst>
            <a:ext uri="{FF2B5EF4-FFF2-40B4-BE49-F238E27FC236}">
              <a16:creationId xmlns:a16="http://schemas.microsoft.com/office/drawing/2014/main" id="{6838DA8D-E085-4047-AD4E-D99BA7705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0053" y="153933525"/>
          <a:ext cx="5010149" cy="32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648647</xdr:colOff>
      <xdr:row>11</xdr:row>
      <xdr:rowOff>0</xdr:rowOff>
    </xdr:from>
    <xdr:ext cx="5010149" cy="3237160"/>
    <xdr:pic>
      <xdr:nvPicPr>
        <xdr:cNvPr id="7" name="Imagem 6" descr="Tabela-GG-50.jpg">
          <a:extLst>
            <a:ext uri="{FF2B5EF4-FFF2-40B4-BE49-F238E27FC236}">
              <a16:creationId xmlns:a16="http://schemas.microsoft.com/office/drawing/2014/main" id="{C46A2781-CA97-427B-AA32-FF5C1BC46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97847" y="2466975"/>
          <a:ext cx="5010149" cy="32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11</xdr:col>
      <xdr:colOff>56029</xdr:colOff>
      <xdr:row>298</xdr:row>
      <xdr:rowOff>56030</xdr:rowOff>
    </xdr:from>
    <xdr:to>
      <xdr:col>13</xdr:col>
      <xdr:colOff>22411</xdr:colOff>
      <xdr:row>299</xdr:row>
      <xdr:rowOff>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58B16D10-045F-4A12-9A3F-A8D8D466F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648204" y="49452680"/>
          <a:ext cx="1661832" cy="372595"/>
        </a:xfrm>
        <a:prstGeom prst="rect">
          <a:avLst/>
        </a:prstGeom>
        <a:noFill/>
      </xdr:spPr>
    </xdr:pic>
    <xdr:clientData/>
  </xdr:twoCellAnchor>
  <xdr:twoCellAnchor>
    <xdr:from>
      <xdr:col>11</xdr:col>
      <xdr:colOff>56029</xdr:colOff>
      <xdr:row>233</xdr:row>
      <xdr:rowOff>56030</xdr:rowOff>
    </xdr:from>
    <xdr:to>
      <xdr:col>13</xdr:col>
      <xdr:colOff>22411</xdr:colOff>
      <xdr:row>234</xdr:row>
      <xdr:rowOff>0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696E4A9-F78B-4DCF-BDA0-6404D9DDC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648204" y="39737180"/>
          <a:ext cx="1661832" cy="515470"/>
        </a:xfrm>
        <a:prstGeom prst="rect">
          <a:avLst/>
        </a:prstGeom>
        <a:noFill/>
      </xdr:spPr>
    </xdr:pic>
    <xdr:clientData/>
  </xdr:twoCellAnchor>
  <xdr:twoCellAnchor>
    <xdr:from>
      <xdr:col>12</xdr:col>
      <xdr:colOff>155420</xdr:colOff>
      <xdr:row>221</xdr:row>
      <xdr:rowOff>14617</xdr:rowOff>
    </xdr:from>
    <xdr:to>
      <xdr:col>14</xdr:col>
      <xdr:colOff>304020</xdr:colOff>
      <xdr:row>222</xdr:row>
      <xdr:rowOff>389283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BFACA12F-2E99-4ADF-899D-7A0D64C25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681045" y="36838267"/>
          <a:ext cx="1663075" cy="51754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56029</xdr:colOff>
      <xdr:row>317</xdr:row>
      <xdr:rowOff>56030</xdr:rowOff>
    </xdr:from>
    <xdr:to>
      <xdr:col>13</xdr:col>
      <xdr:colOff>22411</xdr:colOff>
      <xdr:row>318</xdr:row>
      <xdr:rowOff>0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8B6088A6-CF74-4B78-A4F4-EB456B78A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648204" y="53043605"/>
          <a:ext cx="1661832" cy="372595"/>
        </a:xfrm>
        <a:prstGeom prst="rect">
          <a:avLst/>
        </a:prstGeom>
        <a:noFill/>
      </xdr:spPr>
    </xdr:pic>
    <xdr:clientData/>
  </xdr:twoCellAnchor>
  <xdr:twoCellAnchor>
    <xdr:from>
      <xdr:col>11</xdr:col>
      <xdr:colOff>56029</xdr:colOff>
      <xdr:row>307</xdr:row>
      <xdr:rowOff>56030</xdr:rowOff>
    </xdr:from>
    <xdr:to>
      <xdr:col>13</xdr:col>
      <xdr:colOff>22411</xdr:colOff>
      <xdr:row>308</xdr:row>
      <xdr:rowOff>0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8F954DA7-EB9F-4DF3-986D-ACADCE4D0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648204" y="51167180"/>
          <a:ext cx="1661832" cy="372595"/>
        </a:xfrm>
        <a:prstGeom prst="rect">
          <a:avLst/>
        </a:prstGeom>
        <a:noFill/>
      </xdr:spPr>
    </xdr:pic>
    <xdr:clientData/>
  </xdr:twoCellAnchor>
  <xdr:twoCellAnchor>
    <xdr:from>
      <xdr:col>11</xdr:col>
      <xdr:colOff>56029</xdr:colOff>
      <xdr:row>350</xdr:row>
      <xdr:rowOff>56030</xdr:rowOff>
    </xdr:from>
    <xdr:to>
      <xdr:col>13</xdr:col>
      <xdr:colOff>22411</xdr:colOff>
      <xdr:row>351</xdr:row>
      <xdr:rowOff>0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32EECF7D-3AC6-4566-B25A-6F6ED87D5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648204" y="59044355"/>
          <a:ext cx="1661832" cy="372595"/>
        </a:xfrm>
        <a:prstGeom prst="rect">
          <a:avLst/>
        </a:prstGeom>
        <a:noFill/>
      </xdr:spPr>
    </xdr:pic>
    <xdr:clientData/>
  </xdr:twoCellAnchor>
  <xdr:twoCellAnchor>
    <xdr:from>
      <xdr:col>11</xdr:col>
      <xdr:colOff>56029</xdr:colOff>
      <xdr:row>336</xdr:row>
      <xdr:rowOff>56030</xdr:rowOff>
    </xdr:from>
    <xdr:to>
      <xdr:col>13</xdr:col>
      <xdr:colOff>22411</xdr:colOff>
      <xdr:row>337</xdr:row>
      <xdr:rowOff>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3BD418D5-1B26-4D83-96F3-2A78CB32B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648204" y="56758355"/>
          <a:ext cx="1661832" cy="372595"/>
        </a:xfrm>
        <a:prstGeom prst="rect">
          <a:avLst/>
        </a:prstGeom>
        <a:noFill/>
      </xdr:spPr>
    </xdr:pic>
    <xdr:clientData/>
  </xdr:twoCellAnchor>
  <xdr:twoCellAnchor>
    <xdr:from>
      <xdr:col>11</xdr:col>
      <xdr:colOff>56029</xdr:colOff>
      <xdr:row>216</xdr:row>
      <xdr:rowOff>56030</xdr:rowOff>
    </xdr:from>
    <xdr:to>
      <xdr:col>13</xdr:col>
      <xdr:colOff>22411</xdr:colOff>
      <xdr:row>217</xdr:row>
      <xdr:rowOff>0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DC841B7-B052-4112-A7C7-E26B70482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648204" y="35889080"/>
          <a:ext cx="1661832" cy="372595"/>
        </a:xfrm>
        <a:prstGeom prst="rect">
          <a:avLst/>
        </a:prstGeom>
        <a:noFill/>
      </xdr:spPr>
    </xdr:pic>
    <xdr:clientData/>
  </xdr:twoCellAnchor>
  <xdr:twoCellAnchor>
    <xdr:from>
      <xdr:col>11</xdr:col>
      <xdr:colOff>56029</xdr:colOff>
      <xdr:row>208</xdr:row>
      <xdr:rowOff>56030</xdr:rowOff>
    </xdr:from>
    <xdr:to>
      <xdr:col>13</xdr:col>
      <xdr:colOff>22411</xdr:colOff>
      <xdr:row>209</xdr:row>
      <xdr:rowOff>0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8304F361-88A1-4BC4-8483-3ED7F7180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648204" y="34460330"/>
          <a:ext cx="1661832" cy="37259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61</xdr:row>
      <xdr:rowOff>11301</xdr:rowOff>
    </xdr:from>
    <xdr:to>
      <xdr:col>1</xdr:col>
      <xdr:colOff>4000501</xdr:colOff>
      <xdr:row>64</xdr:row>
      <xdr:rowOff>152401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33351" y="15213201"/>
          <a:ext cx="3943350" cy="769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BDI =     (</a:t>
          </a:r>
          <a:r>
            <a:rPr lang="pt-BR" sz="1100" u="sng"/>
            <a:t>1+AC/100)x(1+DF/100)x(1+R/100)x(1+l/100</a:t>
          </a:r>
          <a:r>
            <a:rPr lang="pt-BR" sz="1100"/>
            <a:t>)  </a:t>
          </a:r>
          <a:r>
            <a:rPr lang="pt-BR" sz="1100" baseline="0"/>
            <a:t> -1        x100</a:t>
          </a:r>
        </a:p>
        <a:p>
          <a:r>
            <a:rPr lang="pt-BR" sz="1100" baseline="0"/>
            <a:t>                                                1-      </a:t>
          </a:r>
          <a:r>
            <a:rPr lang="pt-BR" sz="1100" u="sng" baseline="0"/>
            <a:t>    l   .           </a:t>
          </a:r>
        </a:p>
        <a:p>
          <a:r>
            <a:rPr lang="pt-BR" sz="1100" baseline="0"/>
            <a:t>                                                           100</a:t>
          </a:r>
          <a:endParaRPr lang="pt-BR" sz="1100"/>
        </a:p>
      </xdr:txBody>
    </xdr:sp>
    <xdr:clientData/>
  </xdr:twoCellAnchor>
  <xdr:twoCellAnchor>
    <xdr:from>
      <xdr:col>1</xdr:col>
      <xdr:colOff>581025</xdr:colOff>
      <xdr:row>61</xdr:row>
      <xdr:rowOff>19050</xdr:rowOff>
    </xdr:from>
    <xdr:to>
      <xdr:col>1</xdr:col>
      <xdr:colOff>3190875</xdr:colOff>
      <xdr:row>64</xdr:row>
      <xdr:rowOff>95250</xdr:rowOff>
    </xdr:to>
    <xdr:sp macro="" textlink="">
      <xdr:nvSpPr>
        <xdr:cNvPr id="3" name="Colchete dupl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57225" y="15220950"/>
          <a:ext cx="2609850" cy="7048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457200</xdr:colOff>
      <xdr:row>61</xdr:row>
      <xdr:rowOff>0</xdr:rowOff>
    </xdr:from>
    <xdr:to>
      <xdr:col>1</xdr:col>
      <xdr:colOff>3415393</xdr:colOff>
      <xdr:row>64</xdr:row>
      <xdr:rowOff>142874</xdr:rowOff>
    </xdr:to>
    <xdr:sp macro="" textlink="">
      <xdr:nvSpPr>
        <xdr:cNvPr id="4" name="Chave dupla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33400" y="15201900"/>
          <a:ext cx="2958193" cy="771524"/>
        </a:xfrm>
        <a:prstGeom prst="brace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1876425</xdr:colOff>
      <xdr:row>62</xdr:row>
      <xdr:rowOff>95250</xdr:rowOff>
    </xdr:from>
    <xdr:to>
      <xdr:col>1</xdr:col>
      <xdr:colOff>2333625</xdr:colOff>
      <xdr:row>64</xdr:row>
      <xdr:rowOff>57149</xdr:rowOff>
    </xdr:to>
    <xdr:sp macro="" textlink="">
      <xdr:nvSpPr>
        <xdr:cNvPr id="5" name="Colchete dupl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952625" y="15506700"/>
          <a:ext cx="457200" cy="380999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1571624</xdr:colOff>
      <xdr:row>62</xdr:row>
      <xdr:rowOff>57150</xdr:rowOff>
    </xdr:from>
    <xdr:to>
      <xdr:col>1</xdr:col>
      <xdr:colOff>2419349</xdr:colOff>
      <xdr:row>64</xdr:row>
      <xdr:rowOff>142875</xdr:rowOff>
    </xdr:to>
    <xdr:sp macro="" textlink="">
      <xdr:nvSpPr>
        <xdr:cNvPr id="6" name="Colchete dupl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1647824" y="15468600"/>
          <a:ext cx="847725" cy="5048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32</xdr:row>
          <xdr:rowOff>152400</xdr:rowOff>
        </xdr:from>
        <xdr:to>
          <xdr:col>1</xdr:col>
          <xdr:colOff>4648200</xdr:colOff>
          <xdr:row>36</xdr:row>
          <xdr:rowOff>161925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6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C\OrcamentoLicitacao\2010\Quilombola%2024-05-10\AGRESTE\ORC%20Sinapi%20-ReV%2001\147-Or&#231;amento-Rede%20&#193;gua-AGRESTE_50mm-REV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Usuarios\Marcus\SAA%20NovoHorizonte%20REV%20O1%20-%202806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&amp;B%20-%20Prefeituras\Bom%20Jardim\-%20Passagens%20Molhadas%20(CAIXA)%20-%20&#218;ltimo%20Ajuste\Or&#231;amento%20-%20Passagens%20Molhadas\Vers&#227;o%20passada\MEMORIAS%20DE%20CALCULO%20PMS%20BJ%20_rev10%20_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Atrab\tecsan\MC-Calc\MC-E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P_01\Documents%20and%20Settings\Gespt\Meus%20documentos\termos%20de%20referencia\barragem%20sta%20luzia\ANEXO%20II%20_PLANILHAS%20DE%20OR&#199;AMENTO%20ESTIMADO\Or&#231;amento%20%20-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OrcamentoLicitacao\2011\PAC%202%20-GRUPO%203\SAA%20INHAMBUPE\SIAA%20INHAMBUPE%20-FINAL%2020061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C_01\Dados%20Corc\Marcus\Amplia&#231;&#227;o%20do%20SAA%20de%20Taquarandi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rives%20compartilhados/BREJO%20DA%20MADRE%20DE%20DEUS/_PROJETOS/2022/_CAIXA%20-%20923519-2021%20-%20Constru&#231;&#227;o%20de%20pra&#231;a%20p&#250;blica%20(Mirante)/_Licita&#231;&#227;o/Or&#231;amento/PO-PLQ-CFF%20PRACA+PAVIMENTACAO%20923519-2021%20REV5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Sec.%20Direitos%20Humanos/Ger&#234;ncia%20de%20Projetos/UFRPE/44.003%20-%20Pr&#233;dio%20de%206%20pavimentos/CD%20-%20VERS&#195;O%20FINAL25-09-07/PR&#201;DIO%20DE%206%20PAVIMENTOS/OR&#199;AMENTOS/orca-elet-refinaria%20por%20bloc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ERNANDO\Downloads\Sec.%20Direitos%20Humanos\Ger&#234;ncia%20de%20Projetos\UFRPE\44.003%20-%20Pr&#233;dio%20de%206%20pavimentos\CD%20-%20VERS&#195;O%20FINAL25-09-07\PR&#201;DIO%20DE%206%20PAVIMENTOS\OR&#199;AMENTOS\orca-elet-refinaria%20por%20blo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Jacaraci"/>
      <sheetName val="Demanda-Total"/>
      <sheetName val="V reservação"/>
      <sheetName val="Pre dimensADUTORA"/>
      <sheetName val="Lista"/>
      <sheetName val="Zona A"/>
      <sheetName val="Zona B"/>
      <sheetName val="ETA-Mat"/>
      <sheetName val="Caracteristicas 1"/>
      <sheetName val="06.05"/>
      <sheetName val="Serviços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M"/>
      <sheetName val="ListaS"/>
      <sheetName val="CRITÉRIOS"/>
      <sheetName val="SER"/>
      <sheetName val="MAT"/>
      <sheetName val="LIGAÇÕES DOMICILIARES (MAT)"/>
      <sheetName val="LIGAÇÕES DOMICILIARES (SER)"/>
      <sheetName val="Programações"/>
      <sheetName val="TOTAL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K13">
            <v>1.3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"/>
      <sheetName val="Mat"/>
      <sheetName val="Resumo"/>
      <sheetName val="CRONOGRAMA"/>
      <sheetName val="QCI"/>
      <sheetName val="Poço"/>
    </sheetNames>
    <sheetDataSet>
      <sheetData sheetId="0" refreshError="1">
        <row r="9">
          <cell r="E9">
            <v>1</v>
          </cell>
        </row>
        <row r="10">
          <cell r="I10">
            <v>1.07853764</v>
          </cell>
        </row>
        <row r="11">
          <cell r="I11">
            <v>1.2373000000000001</v>
          </cell>
        </row>
      </sheetData>
      <sheetData sheetId="1" refreshError="1">
        <row r="9">
          <cell r="J9">
            <v>1.07853764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CAM_BAIXO)"/>
      <sheetName val="(CAM_CIMA)"/>
      <sheetName val="SONDAGEM CAMARÁ DE CIMA"/>
      <sheetName val="SONDAGEM CAMARÁ DE BAIXO"/>
      <sheetName val="MEMÓRIA GERAL (SINAPI)"/>
      <sheetName val="2.Memória Auxiliar - CAM.BAIXO2"/>
      <sheetName val="3. Memória Auxiliar - CAM.CIMA2"/>
      <sheetName val="MEMÓRIA GERAL (SICRO)"/>
      <sheetName val="3. Memória Auxiliar - CAM. CIMA"/>
      <sheetName val="MEMÓRIA GERAL"/>
      <sheetName val="COMPOSIÇÕES"/>
      <sheetName val="COTAÇÕ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despesas"/>
      <sheetName val="equipe"/>
      <sheetName val="Serv.Geo"/>
      <sheetName val="Serv.graf."/>
      <sheetName val="Serv.top"/>
      <sheetName val="INSUMOS"/>
      <sheetName val="caracteristicas 1"/>
    </sheetNames>
    <sheetDataSet>
      <sheetData sheetId="0">
        <row r="2">
          <cell r="D2">
            <v>1.06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GERAL"/>
      <sheetName val="RESUMO CERB"/>
      <sheetName val="SERVIÇOS "/>
      <sheetName val="MATERIAIS"/>
      <sheetName val="RESUMO"/>
      <sheetName val="CRONOGRAMA"/>
      <sheetName val="QCI"/>
      <sheetName val="Mat"/>
      <sheetName val="Serv"/>
    </sheetNames>
    <sheetDataSet>
      <sheetData sheetId="0"/>
      <sheetData sheetId="1"/>
      <sheetData sheetId="2">
        <row r="10">
          <cell r="G10">
            <v>1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ços"/>
      <sheetName val="Materiais"/>
      <sheetName val="Resumo"/>
      <sheetName val="Cronograma"/>
      <sheetName val="Plan1"/>
      <sheetName val="Toposolo+Schahin"/>
      <sheetName val="Toposolo"/>
      <sheetName val="Toposolo-Resumo"/>
    </sheetNames>
    <sheetDataSet>
      <sheetData sheetId="0" refreshError="1">
        <row r="5">
          <cell r="H5">
            <v>1.2694000000000001</v>
          </cell>
        </row>
        <row r="7">
          <cell r="E7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BDI (1)"/>
      <sheetName val="PO"/>
      <sheetName val="PLQ"/>
      <sheetName val="CFF"/>
    </sheetNames>
    <definedNames>
      <definedName name="linhaSINAPIxls" refersTo="='PO'!$X1" sheetId="2"/>
    </defined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  <sheetName val="BM 01"/>
      <sheetName val="MEMORIA BM 01"/>
      <sheetName val="GERAL - COM DESONERAÇÃO"/>
      <sheetName val="GERAL - SEM DESONERAÇÃO"/>
      <sheetName val="ORCAMENTO COM DES"/>
      <sheetName val="MEM CÁLC COM DES"/>
      <sheetName val="_RESUMO COMPARATIVO_"/>
      <sheetName val="CRONOGRAMA "/>
      <sheetName val="BDI_PAV_26,01_NOVA_CPRB"/>
      <sheetName val="BDI_PAV_20,00_NOVA_CPRB"/>
      <sheetName val="BM 1"/>
      <sheetName val="MEMÓRIA DO BM1"/>
      <sheetName val="MEMÓRIA DO BM2"/>
      <sheetName val="BM 2"/>
      <sheetName val="MEMÓRIA DO BM3"/>
      <sheetName val="BM 3"/>
      <sheetName val="CRONOGRAMA"/>
      <sheetName val="Planilha1"/>
      <sheetName val="Plan1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">
          <cell r="B1">
            <v>0</v>
          </cell>
        </row>
      </sheetData>
      <sheetData sheetId="16"/>
      <sheetData sheetId="17"/>
      <sheetData sheetId="18">
        <row r="1">
          <cell r="B1">
            <v>0</v>
          </cell>
        </row>
      </sheetData>
      <sheetData sheetId="19"/>
      <sheetData sheetId="20"/>
      <sheetData sheetId="21"/>
      <sheetData sheetId="22"/>
      <sheetData sheetId="23">
        <row r="1">
          <cell r="B1">
            <v>0</v>
          </cell>
        </row>
      </sheetData>
      <sheetData sheetId="24"/>
      <sheetData sheetId="25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  <sheetName val="BM 1"/>
      <sheetName val="MEMÓRIA DO BM1"/>
      <sheetName val="MEMÓRIA DO BM2"/>
      <sheetName val="BM 2"/>
      <sheetName val="MEMÓRIA DO BM3"/>
      <sheetName val="BM 3"/>
      <sheetName val="CRONOGRAMA"/>
      <sheetName val="Planilha1"/>
      <sheetName val="BM 01"/>
      <sheetName val="MEMORIA BM 01"/>
      <sheetName val="GERAL - COM DESONERAÇÃO"/>
      <sheetName val="GERAL - SEM DESONERAÇÃO"/>
      <sheetName val="ORCAMENTO COM DES"/>
      <sheetName val="MEM CÁLC COM DES"/>
      <sheetName val="_RESUMO COMPARATIVO_"/>
      <sheetName val="CRONOGRAMA "/>
      <sheetName val="BDI_PAV_26,01_NOVA_CPRB"/>
      <sheetName val="BDI_PAV_20,00_NOVA_CPRB"/>
      <sheetName val="Plan1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>
            <v>0</v>
          </cell>
        </row>
      </sheetData>
      <sheetData sheetId="9"/>
      <sheetData sheetId="10"/>
      <sheetData sheetId="11"/>
      <sheetData sheetId="12"/>
      <sheetData sheetId="13">
        <row r="1">
          <cell r="B1"/>
        </row>
      </sheetData>
      <sheetData sheetId="14"/>
      <sheetData sheetId="15"/>
      <sheetData sheetId="16">
        <row r="1">
          <cell r="B1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1">
          <cell r="B1">
            <v>0</v>
          </cell>
        </row>
      </sheetData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image" Target="../media/image5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6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1B794-D6EE-4C14-AC56-F34DC2CFE998}">
  <sheetPr>
    <tabColor rgb="FF00B050"/>
    <pageSetUpPr fitToPage="1"/>
  </sheetPr>
  <dimension ref="A1:AE113"/>
  <sheetViews>
    <sheetView tabSelected="1" view="pageBreakPreview" topLeftCell="A12" zoomScale="115" zoomScaleSheetLayoutView="115" workbookViewId="0">
      <pane ySplit="930" topLeftCell="A103" activePane="bottomLeft"/>
      <selection activeCell="B12" sqref="B1:B1048576"/>
      <selection pane="bottomLeft" activeCell="I110" sqref="I110"/>
    </sheetView>
  </sheetViews>
  <sheetFormatPr defaultRowHeight="11.25" x14ac:dyDescent="0.2"/>
  <cols>
    <col min="1" max="1" width="6.140625" style="37" customWidth="1"/>
    <col min="2" max="2" width="11.42578125" style="37" customWidth="1"/>
    <col min="3" max="3" width="8.85546875" style="37" bestFit="1" customWidth="1"/>
    <col min="4" max="4" width="37.28515625" style="37" customWidth="1"/>
    <col min="5" max="5" width="4.5703125" style="37" bestFit="1" customWidth="1"/>
    <col min="6" max="6" width="9.85546875" style="37" customWidth="1"/>
    <col min="7" max="7" width="10.42578125" style="40" customWidth="1"/>
    <col min="8" max="8" width="10.5703125" style="37" customWidth="1"/>
    <col min="9" max="9" width="13.140625" style="40" customWidth="1"/>
    <col min="10" max="10" width="4.140625" style="37" customWidth="1"/>
    <col min="11" max="11" width="14.140625" style="37" customWidth="1"/>
    <col min="12" max="12" width="14" style="37" customWidth="1"/>
    <col min="13" max="13" width="11.42578125" style="37" customWidth="1"/>
    <col min="14" max="17" width="11.28515625" style="37" customWidth="1"/>
    <col min="18" max="30" width="9.140625" style="37"/>
    <col min="31" max="31" width="0" style="37" hidden="1" customWidth="1"/>
    <col min="32" max="16384" width="9.140625" style="37"/>
  </cols>
  <sheetData>
    <row r="1" spans="1:31" s="10" customFormat="1" ht="17.25" thickTop="1" thickBot="1" x14ac:dyDescent="0.3">
      <c r="A1" s="372" t="s">
        <v>19</v>
      </c>
      <c r="B1" s="373"/>
      <c r="C1" s="373"/>
      <c r="D1" s="373"/>
      <c r="E1" s="373"/>
      <c r="F1" s="373"/>
      <c r="G1" s="374"/>
      <c r="H1" s="373"/>
      <c r="I1" s="375"/>
    </row>
    <row r="2" spans="1:31" s="10" customFormat="1" ht="16.5" thickTop="1" x14ac:dyDescent="0.25">
      <c r="A2" s="11"/>
      <c r="B2" s="331"/>
      <c r="C2" s="11"/>
      <c r="D2" s="11"/>
      <c r="E2" s="11"/>
      <c r="F2" s="12"/>
      <c r="G2" s="13"/>
      <c r="H2" s="12"/>
      <c r="I2" s="13"/>
    </row>
    <row r="3" spans="1:31" s="10" customFormat="1" ht="12.75" x14ac:dyDescent="0.2">
      <c r="A3" s="15" t="s">
        <v>926</v>
      </c>
      <c r="B3" s="332"/>
      <c r="C3" s="42"/>
      <c r="D3" s="42"/>
      <c r="E3" s="42"/>
      <c r="F3" s="42"/>
      <c r="G3" s="43"/>
      <c r="H3" s="42"/>
      <c r="I3" s="43"/>
      <c r="K3" s="19" t="s">
        <v>101</v>
      </c>
      <c r="L3" s="19" t="s">
        <v>101</v>
      </c>
    </row>
    <row r="4" spans="1:31" s="18" customFormat="1" ht="12.75" x14ac:dyDescent="0.2">
      <c r="A4" s="15" t="s">
        <v>574</v>
      </c>
      <c r="B4" s="332"/>
      <c r="C4" s="16"/>
      <c r="D4" s="16"/>
      <c r="E4" s="16"/>
      <c r="F4" s="16"/>
      <c r="G4" s="17"/>
      <c r="H4" s="16"/>
      <c r="I4" s="16"/>
      <c r="K4" s="19" t="s">
        <v>362</v>
      </c>
      <c r="L4" s="19" t="s">
        <v>363</v>
      </c>
      <c r="M4" s="10"/>
      <c r="N4" s="10"/>
      <c r="O4" s="10"/>
      <c r="P4" s="10"/>
      <c r="Q4" s="10"/>
      <c r="R4" s="10"/>
    </row>
    <row r="5" spans="1:31" s="18" customFormat="1" ht="14.25" customHeight="1" x14ac:dyDescent="0.2">
      <c r="A5" s="388" t="s">
        <v>805</v>
      </c>
      <c r="B5" s="388"/>
      <c r="C5" s="388"/>
      <c r="D5" s="388"/>
      <c r="E5" s="388"/>
      <c r="F5" s="388"/>
      <c r="G5" s="388"/>
      <c r="H5" s="388"/>
      <c r="I5" s="388"/>
      <c r="K5" s="21">
        <v>0.26529999999999998</v>
      </c>
      <c r="L5" s="21">
        <v>0.20499999999999999</v>
      </c>
      <c r="M5" s="10"/>
      <c r="N5" s="10"/>
      <c r="O5" s="10"/>
      <c r="P5" s="10"/>
      <c r="Q5" s="10"/>
      <c r="R5" s="10"/>
    </row>
    <row r="6" spans="1:31" s="18" customFormat="1" ht="13.5" thickBot="1" x14ac:dyDescent="0.25">
      <c r="A6" s="22" t="s">
        <v>860</v>
      </c>
      <c r="B6" s="333"/>
      <c r="D6" s="14"/>
      <c r="E6" s="14"/>
      <c r="F6" s="14"/>
      <c r="G6" s="20"/>
      <c r="H6" s="14"/>
      <c r="I6" s="20"/>
      <c r="K6" s="10"/>
      <c r="L6" s="10"/>
      <c r="M6" s="10"/>
      <c r="N6" s="10"/>
      <c r="O6" s="10"/>
      <c r="P6" s="10"/>
      <c r="Q6" s="10"/>
      <c r="R6" s="10"/>
    </row>
    <row r="7" spans="1:31" s="10" customFormat="1" ht="12" thickBot="1" x14ac:dyDescent="0.25">
      <c r="A7" s="6"/>
      <c r="B7" s="334"/>
      <c r="C7" s="6"/>
      <c r="D7" s="7"/>
      <c r="E7" s="8"/>
      <c r="F7" s="9"/>
      <c r="G7" s="382" t="s">
        <v>364</v>
      </c>
      <c r="H7" s="383"/>
      <c r="I7" s="384"/>
    </row>
    <row r="8" spans="1:31" s="320" customFormat="1" ht="23.25" thickBot="1" x14ac:dyDescent="0.3">
      <c r="A8" s="313" t="s">
        <v>1</v>
      </c>
      <c r="B8" s="335" t="s">
        <v>60</v>
      </c>
      <c r="C8" s="314" t="s">
        <v>18</v>
      </c>
      <c r="D8" s="314" t="s">
        <v>2</v>
      </c>
      <c r="E8" s="314" t="s">
        <v>3</v>
      </c>
      <c r="F8" s="316" t="s">
        <v>57</v>
      </c>
      <c r="G8" s="317" t="s">
        <v>98</v>
      </c>
      <c r="H8" s="318" t="s">
        <v>99</v>
      </c>
      <c r="I8" s="319" t="s">
        <v>100</v>
      </c>
      <c r="K8" s="321"/>
      <c r="AE8" s="23"/>
    </row>
    <row r="9" spans="1:31" s="30" customFormat="1" x14ac:dyDescent="0.2">
      <c r="A9" s="24"/>
      <c r="B9" s="336"/>
      <c r="C9" s="250"/>
      <c r="D9" s="25"/>
      <c r="E9" s="26"/>
      <c r="F9" s="27"/>
      <c r="G9" s="28"/>
      <c r="H9" s="29"/>
      <c r="I9" s="27"/>
    </row>
    <row r="10" spans="1:31" s="30" customFormat="1" ht="15" customHeight="1" x14ac:dyDescent="0.2">
      <c r="A10" s="385" t="s">
        <v>925</v>
      </c>
      <c r="B10" s="386"/>
      <c r="C10" s="386"/>
      <c r="D10" s="386"/>
      <c r="E10" s="386"/>
      <c r="F10" s="386"/>
      <c r="G10" s="386"/>
      <c r="H10" s="386"/>
      <c r="I10" s="387"/>
    </row>
    <row r="11" spans="1:31" s="30" customFormat="1" x14ac:dyDescent="0.2">
      <c r="A11" s="24"/>
      <c r="B11" s="336"/>
      <c r="C11" s="250"/>
      <c r="D11" s="25"/>
      <c r="E11" s="26"/>
      <c r="F11" s="27"/>
      <c r="G11" s="28"/>
      <c r="H11" s="29"/>
      <c r="I11" s="27"/>
    </row>
    <row r="12" spans="1:31" s="263" customFormat="1" ht="10.5" customHeight="1" x14ac:dyDescent="0.2">
      <c r="A12" s="252" t="s">
        <v>230</v>
      </c>
      <c r="B12" s="337"/>
      <c r="C12" s="253"/>
      <c r="D12" s="254" t="s">
        <v>8</v>
      </c>
      <c r="E12" s="255"/>
      <c r="F12" s="257"/>
      <c r="G12" s="258"/>
      <c r="H12" s="259"/>
      <c r="I12" s="260">
        <f>SUM(I13:I16)</f>
        <v>45478.78</v>
      </c>
      <c r="J12" s="261" t="s">
        <v>110</v>
      </c>
      <c r="K12" s="262" t="s">
        <v>160</v>
      </c>
      <c r="AE12" s="264"/>
    </row>
    <row r="13" spans="1:31" s="31" customFormat="1" ht="39.75" customHeight="1" x14ac:dyDescent="0.2">
      <c r="A13" s="303" t="s">
        <v>231</v>
      </c>
      <c r="B13" s="304" t="s">
        <v>59</v>
      </c>
      <c r="C13" s="325" t="s">
        <v>311</v>
      </c>
      <c r="D13" s="326" t="s">
        <v>312</v>
      </c>
      <c r="E13" s="44" t="s">
        <v>112</v>
      </c>
      <c r="F13" s="34">
        <v>8</v>
      </c>
      <c r="G13" s="35" t="s">
        <v>481</v>
      </c>
      <c r="H13" s="36">
        <f>ROUND(G13*(1+$L$5),2)</f>
        <v>374.45</v>
      </c>
      <c r="I13" s="34">
        <f>TRUNC(F13*H13,2)</f>
        <v>2995.6</v>
      </c>
      <c r="AE13" s="31" t="s">
        <v>124</v>
      </c>
    </row>
    <row r="14" spans="1:31" s="31" customFormat="1" ht="23.25" customHeight="1" x14ac:dyDescent="0.2">
      <c r="A14" s="303" t="s">
        <v>353</v>
      </c>
      <c r="B14" s="304" t="s">
        <v>59</v>
      </c>
      <c r="C14" s="325" t="s">
        <v>320</v>
      </c>
      <c r="D14" s="326" t="s">
        <v>321</v>
      </c>
      <c r="E14" s="44" t="s">
        <v>109</v>
      </c>
      <c r="F14" s="34">
        <v>146</v>
      </c>
      <c r="G14" s="35" t="s">
        <v>482</v>
      </c>
      <c r="H14" s="36">
        <f>ROUND(G14*(1+$L$5),2)</f>
        <v>75.64</v>
      </c>
      <c r="I14" s="34">
        <f>TRUNC(F14*H14,2)</f>
        <v>11043.44</v>
      </c>
      <c r="AE14" s="31" t="s">
        <v>124</v>
      </c>
    </row>
    <row r="15" spans="1:31" s="31" customFormat="1" x14ac:dyDescent="0.2">
      <c r="A15" s="303" t="s">
        <v>354</v>
      </c>
      <c r="B15" s="304" t="s">
        <v>59</v>
      </c>
      <c r="C15" s="325" t="s">
        <v>322</v>
      </c>
      <c r="D15" s="326" t="s">
        <v>484</v>
      </c>
      <c r="E15" s="44" t="s">
        <v>112</v>
      </c>
      <c r="F15" s="34">
        <v>286</v>
      </c>
      <c r="G15" s="35" t="s">
        <v>483</v>
      </c>
      <c r="H15" s="36">
        <f>ROUND(G15*(1+$L$5),2)</f>
        <v>105.75</v>
      </c>
      <c r="I15" s="34">
        <f>TRUNC(F15*H15,2)</f>
        <v>30244.5</v>
      </c>
      <c r="AE15" s="31" t="s">
        <v>124</v>
      </c>
    </row>
    <row r="16" spans="1:31" s="31" customFormat="1" ht="33.75" x14ac:dyDescent="0.2">
      <c r="A16" s="303" t="s">
        <v>806</v>
      </c>
      <c r="B16" s="304" t="s">
        <v>59</v>
      </c>
      <c r="C16" s="325" t="s">
        <v>786</v>
      </c>
      <c r="D16" s="326" t="s">
        <v>787</v>
      </c>
      <c r="E16" s="44" t="s">
        <v>118</v>
      </c>
      <c r="F16" s="34">
        <v>18.14</v>
      </c>
      <c r="G16" s="35" t="s">
        <v>788</v>
      </c>
      <c r="H16" s="36">
        <f>ROUND(G16*(1+$L$5),2)</f>
        <v>65.89</v>
      </c>
      <c r="I16" s="34">
        <f>TRUNC(F16*H16,2)</f>
        <v>1195.24</v>
      </c>
      <c r="AE16" s="31" t="s">
        <v>124</v>
      </c>
    </row>
    <row r="17" spans="1:31" s="263" customFormat="1" ht="10.5" customHeight="1" x14ac:dyDescent="0.2">
      <c r="A17" s="252" t="s">
        <v>232</v>
      </c>
      <c r="B17" s="337"/>
      <c r="C17" s="253"/>
      <c r="D17" s="254" t="s">
        <v>301</v>
      </c>
      <c r="E17" s="255"/>
      <c r="F17" s="257"/>
      <c r="G17" s="258"/>
      <c r="H17" s="259"/>
      <c r="I17" s="260">
        <f>SUM(I18:I18)</f>
        <v>28532.39</v>
      </c>
      <c r="J17" s="261" t="s">
        <v>110</v>
      </c>
      <c r="K17" s="262" t="s">
        <v>160</v>
      </c>
      <c r="AE17" s="264"/>
    </row>
    <row r="18" spans="1:31" s="30" customFormat="1" x14ac:dyDescent="0.2">
      <c r="A18" s="303" t="s">
        <v>9</v>
      </c>
      <c r="B18" s="304" t="s">
        <v>246</v>
      </c>
      <c r="C18" s="325" t="s">
        <v>159</v>
      </c>
      <c r="D18" s="326" t="s">
        <v>314</v>
      </c>
      <c r="E18" s="44" t="s">
        <v>115</v>
      </c>
      <c r="F18" s="34">
        <v>1</v>
      </c>
      <c r="G18" s="35">
        <f>COMPOSIÇÕES!I20</f>
        <v>23678.33</v>
      </c>
      <c r="H18" s="36">
        <f>ROUND(G18*(1+$L$5),2)</f>
        <v>28532.39</v>
      </c>
      <c r="I18" s="34">
        <f>TRUNC(F18*H18,2)</f>
        <v>28532.39</v>
      </c>
      <c r="J18" s="31"/>
      <c r="L18" s="31"/>
      <c r="AE18" s="31" t="s">
        <v>111</v>
      </c>
    </row>
    <row r="19" spans="1:31" s="263" customFormat="1" ht="10.5" customHeight="1" x14ac:dyDescent="0.2">
      <c r="A19" s="252" t="s">
        <v>233</v>
      </c>
      <c r="B19" s="337"/>
      <c r="C19" s="253"/>
      <c r="D19" s="254" t="s">
        <v>39</v>
      </c>
      <c r="E19" s="255"/>
      <c r="F19" s="257"/>
      <c r="G19" s="258"/>
      <c r="H19" s="259"/>
      <c r="I19" s="260">
        <f>SUM(I20:I22)</f>
        <v>29830.240000000002</v>
      </c>
      <c r="J19" s="261" t="s">
        <v>110</v>
      </c>
      <c r="K19" s="262" t="s">
        <v>160</v>
      </c>
      <c r="AE19" s="264"/>
    </row>
    <row r="20" spans="1:31" s="31" customFormat="1" ht="22.5" x14ac:dyDescent="0.2">
      <c r="A20" s="303" t="s">
        <v>10</v>
      </c>
      <c r="B20" s="304" t="s">
        <v>59</v>
      </c>
      <c r="C20" s="304" t="s">
        <v>116</v>
      </c>
      <c r="D20" s="326" t="s">
        <v>178</v>
      </c>
      <c r="E20" s="44" t="s">
        <v>118</v>
      </c>
      <c r="F20" s="34">
        <v>133.63</v>
      </c>
      <c r="G20" s="35" t="s">
        <v>485</v>
      </c>
      <c r="H20" s="36">
        <f>ROUND(G20*(1+$L$5),2)</f>
        <v>96.67</v>
      </c>
      <c r="I20" s="34">
        <f>TRUNC(F20*H20,2)</f>
        <v>12918.01</v>
      </c>
      <c r="AE20" s="31" t="s">
        <v>125</v>
      </c>
    </row>
    <row r="21" spans="1:31" s="31" customFormat="1" ht="22.5" x14ac:dyDescent="0.2">
      <c r="A21" s="303" t="s">
        <v>11</v>
      </c>
      <c r="B21" s="304" t="s">
        <v>59</v>
      </c>
      <c r="C21" s="304" t="s">
        <v>323</v>
      </c>
      <c r="D21" s="326" t="s">
        <v>324</v>
      </c>
      <c r="E21" s="44" t="s">
        <v>118</v>
      </c>
      <c r="F21" s="34">
        <v>173.91</v>
      </c>
      <c r="G21" s="35" t="s">
        <v>486</v>
      </c>
      <c r="H21" s="36">
        <f>ROUND(G21*(1+$L$5),2)</f>
        <v>93.35</v>
      </c>
      <c r="I21" s="34">
        <f>TRUNC(F21*H21,2)</f>
        <v>16234.49</v>
      </c>
      <c r="AE21" s="31" t="s">
        <v>126</v>
      </c>
    </row>
    <row r="22" spans="1:31" s="31" customFormat="1" ht="22.5" x14ac:dyDescent="0.2">
      <c r="A22" s="303" t="s">
        <v>288</v>
      </c>
      <c r="B22" s="304" t="s">
        <v>59</v>
      </c>
      <c r="C22" s="304" t="s">
        <v>325</v>
      </c>
      <c r="D22" s="326" t="s">
        <v>326</v>
      </c>
      <c r="E22" s="44" t="s">
        <v>118</v>
      </c>
      <c r="F22" s="34">
        <v>27.449999999999989</v>
      </c>
      <c r="G22" s="35" t="s">
        <v>487</v>
      </c>
      <c r="H22" s="36">
        <f>ROUND(G22*(1+$L$5),2)</f>
        <v>24.69</v>
      </c>
      <c r="I22" s="34">
        <f>TRUNC(F22*H22,2)</f>
        <v>677.74</v>
      </c>
      <c r="AE22" s="31" t="s">
        <v>126</v>
      </c>
    </row>
    <row r="23" spans="1:31" s="263" customFormat="1" ht="10.5" customHeight="1" x14ac:dyDescent="0.2">
      <c r="A23" s="252" t="s">
        <v>234</v>
      </c>
      <c r="B23" s="337"/>
      <c r="C23" s="253"/>
      <c r="D23" s="254" t="s">
        <v>50</v>
      </c>
      <c r="E23" s="255"/>
      <c r="F23" s="257"/>
      <c r="G23" s="258"/>
      <c r="H23" s="259"/>
      <c r="I23" s="260">
        <f>SUM(I24:I30)</f>
        <v>117666.08000000002</v>
      </c>
      <c r="J23" s="261" t="s">
        <v>110</v>
      </c>
      <c r="K23" s="262" t="s">
        <v>160</v>
      </c>
      <c r="AE23" s="264"/>
    </row>
    <row r="24" spans="1:31" s="31" customFormat="1" ht="22.5" x14ac:dyDescent="0.2">
      <c r="A24" s="303" t="s">
        <v>13</v>
      </c>
      <c r="B24" s="304" t="s">
        <v>59</v>
      </c>
      <c r="C24" s="304">
        <v>96620</v>
      </c>
      <c r="D24" s="326" t="s">
        <v>155</v>
      </c>
      <c r="E24" s="44" t="s">
        <v>118</v>
      </c>
      <c r="F24" s="34">
        <v>10.619999999999994</v>
      </c>
      <c r="G24" s="35" t="s">
        <v>488</v>
      </c>
      <c r="H24" s="36">
        <f t="shared" ref="H24:H30" si="0">ROUND(G24*(1+$L$5),2)</f>
        <v>874.17</v>
      </c>
      <c r="I24" s="34">
        <f t="shared" ref="I24:I30" si="1">TRUNC(F24*H24,2)</f>
        <v>9283.68</v>
      </c>
      <c r="AE24" s="31" t="s">
        <v>127</v>
      </c>
    </row>
    <row r="25" spans="1:31" s="10" customFormat="1" ht="33.75" x14ac:dyDescent="0.2">
      <c r="A25" s="303" t="s">
        <v>14</v>
      </c>
      <c r="B25" s="304" t="s">
        <v>59</v>
      </c>
      <c r="C25" s="304">
        <v>96535</v>
      </c>
      <c r="D25" s="326" t="s">
        <v>575</v>
      </c>
      <c r="E25" s="44" t="s">
        <v>112</v>
      </c>
      <c r="F25" s="34">
        <v>40.480000000000004</v>
      </c>
      <c r="G25" s="35">
        <v>130.9</v>
      </c>
      <c r="H25" s="36">
        <f t="shared" si="0"/>
        <v>157.72999999999999</v>
      </c>
      <c r="I25" s="34">
        <f t="shared" si="1"/>
        <v>6384.91</v>
      </c>
    </row>
    <row r="26" spans="1:31" s="31" customFormat="1" ht="47.25" customHeight="1" x14ac:dyDescent="0.2">
      <c r="A26" s="303" t="s">
        <v>807</v>
      </c>
      <c r="B26" s="304" t="s">
        <v>59</v>
      </c>
      <c r="C26" s="304">
        <v>96536</v>
      </c>
      <c r="D26" s="326" t="s">
        <v>383</v>
      </c>
      <c r="E26" s="44" t="s">
        <v>112</v>
      </c>
      <c r="F26" s="34">
        <v>284.67999999999995</v>
      </c>
      <c r="G26" s="35" t="s">
        <v>489</v>
      </c>
      <c r="H26" s="36">
        <f t="shared" si="0"/>
        <v>83.57</v>
      </c>
      <c r="I26" s="34">
        <f t="shared" si="1"/>
        <v>23790.7</v>
      </c>
      <c r="AE26" s="31" t="s">
        <v>127</v>
      </c>
    </row>
    <row r="27" spans="1:31" s="31" customFormat="1" ht="33.75" x14ac:dyDescent="0.2">
      <c r="A27" s="303" t="s">
        <v>808</v>
      </c>
      <c r="B27" s="304" t="s">
        <v>59</v>
      </c>
      <c r="C27" s="304">
        <v>96546</v>
      </c>
      <c r="D27" s="326" t="s">
        <v>367</v>
      </c>
      <c r="E27" s="44" t="s">
        <v>368</v>
      </c>
      <c r="F27" s="34">
        <v>1430.1599999999999</v>
      </c>
      <c r="G27" s="35" t="s">
        <v>490</v>
      </c>
      <c r="H27" s="36">
        <f t="shared" si="0"/>
        <v>15.92</v>
      </c>
      <c r="I27" s="34">
        <f t="shared" si="1"/>
        <v>22768.14</v>
      </c>
      <c r="AE27" s="31" t="s">
        <v>127</v>
      </c>
    </row>
    <row r="28" spans="1:31" s="31" customFormat="1" ht="33.75" x14ac:dyDescent="0.2">
      <c r="A28" s="303" t="s">
        <v>809</v>
      </c>
      <c r="B28" s="304" t="s">
        <v>59</v>
      </c>
      <c r="C28" s="304">
        <v>92759</v>
      </c>
      <c r="D28" s="327" t="s">
        <v>374</v>
      </c>
      <c r="E28" s="44" t="s">
        <v>368</v>
      </c>
      <c r="F28" s="34">
        <v>530.06999999999994</v>
      </c>
      <c r="G28" s="35" t="s">
        <v>491</v>
      </c>
      <c r="H28" s="36">
        <f t="shared" si="0"/>
        <v>15.94</v>
      </c>
      <c r="I28" s="34">
        <f t="shared" si="1"/>
        <v>8449.31</v>
      </c>
      <c r="AE28" s="31" t="s">
        <v>127</v>
      </c>
    </row>
    <row r="29" spans="1:31" s="31" customFormat="1" ht="33.75" x14ac:dyDescent="0.2">
      <c r="A29" s="303" t="s">
        <v>810</v>
      </c>
      <c r="B29" s="304" t="s">
        <v>59</v>
      </c>
      <c r="C29" s="304">
        <v>94966</v>
      </c>
      <c r="D29" s="327" t="s">
        <v>451</v>
      </c>
      <c r="E29" s="44" t="s">
        <v>118</v>
      </c>
      <c r="F29" s="34">
        <v>49.22</v>
      </c>
      <c r="G29" s="35" t="s">
        <v>492</v>
      </c>
      <c r="H29" s="36">
        <f t="shared" si="0"/>
        <v>622.08000000000004</v>
      </c>
      <c r="I29" s="34">
        <f t="shared" si="1"/>
        <v>30618.77</v>
      </c>
      <c r="AE29" s="31" t="s">
        <v>127</v>
      </c>
    </row>
    <row r="30" spans="1:31" s="31" customFormat="1" ht="33.75" x14ac:dyDescent="0.2">
      <c r="A30" s="303" t="s">
        <v>811</v>
      </c>
      <c r="B30" s="304" t="s">
        <v>59</v>
      </c>
      <c r="C30" s="304">
        <v>103670</v>
      </c>
      <c r="D30" s="327" t="s">
        <v>379</v>
      </c>
      <c r="E30" s="44" t="s">
        <v>118</v>
      </c>
      <c r="F30" s="34">
        <v>49.22</v>
      </c>
      <c r="G30" s="35" t="s">
        <v>493</v>
      </c>
      <c r="H30" s="36">
        <f t="shared" si="0"/>
        <v>332.6</v>
      </c>
      <c r="I30" s="34">
        <f t="shared" si="1"/>
        <v>16370.57</v>
      </c>
      <c r="AE30" s="31" t="s">
        <v>127</v>
      </c>
    </row>
    <row r="31" spans="1:31" s="263" customFormat="1" ht="10.5" customHeight="1" x14ac:dyDescent="0.2">
      <c r="A31" s="252" t="s">
        <v>235</v>
      </c>
      <c r="B31" s="337"/>
      <c r="C31" s="253"/>
      <c r="D31" s="254" t="s">
        <v>40</v>
      </c>
      <c r="E31" s="255"/>
      <c r="F31" s="257"/>
      <c r="G31" s="258"/>
      <c r="H31" s="259"/>
      <c r="I31" s="260">
        <f>SUM(I32:I41)</f>
        <v>485613.47000000003</v>
      </c>
      <c r="J31" s="261" t="s">
        <v>110</v>
      </c>
      <c r="K31" s="262" t="s">
        <v>160</v>
      </c>
      <c r="AE31" s="264"/>
    </row>
    <row r="32" spans="1:31" s="31" customFormat="1" ht="45" x14ac:dyDescent="0.2">
      <c r="A32" s="303" t="s">
        <v>15</v>
      </c>
      <c r="B32" s="304" t="s">
        <v>59</v>
      </c>
      <c r="C32" s="304">
        <v>92435</v>
      </c>
      <c r="D32" s="327" t="s">
        <v>384</v>
      </c>
      <c r="E32" s="44" t="s">
        <v>112</v>
      </c>
      <c r="F32" s="34">
        <v>352.25999999999988</v>
      </c>
      <c r="G32" s="35" t="s">
        <v>494</v>
      </c>
      <c r="H32" s="36">
        <f t="shared" ref="H32:H41" si="2">ROUND(G32*(1+$L$5),2)</f>
        <v>74.94</v>
      </c>
      <c r="I32" s="34">
        <f t="shared" ref="I32:I41" si="3">TRUNC(F32*H32,2)</f>
        <v>26398.36</v>
      </c>
      <c r="J32" s="31" t="s">
        <v>459</v>
      </c>
      <c r="AE32" s="31" t="s">
        <v>127</v>
      </c>
    </row>
    <row r="33" spans="1:31" s="31" customFormat="1" ht="45" x14ac:dyDescent="0.2">
      <c r="A33" s="303" t="s">
        <v>273</v>
      </c>
      <c r="B33" s="304" t="s">
        <v>59</v>
      </c>
      <c r="C33" s="304">
        <v>92468</v>
      </c>
      <c r="D33" s="327" t="s">
        <v>385</v>
      </c>
      <c r="E33" s="44" t="s">
        <v>112</v>
      </c>
      <c r="F33" s="34">
        <v>621.31999999999971</v>
      </c>
      <c r="G33" s="35" t="s">
        <v>495</v>
      </c>
      <c r="H33" s="36">
        <f t="shared" si="2"/>
        <v>151.63</v>
      </c>
      <c r="I33" s="34">
        <f t="shared" si="3"/>
        <v>94210.75</v>
      </c>
      <c r="J33" s="31" t="s">
        <v>459</v>
      </c>
      <c r="AE33" s="31" t="s">
        <v>127</v>
      </c>
    </row>
    <row r="34" spans="1:31" s="31" customFormat="1" ht="33.75" x14ac:dyDescent="0.2">
      <c r="A34" s="303" t="s">
        <v>16</v>
      </c>
      <c r="B34" s="304" t="s">
        <v>59</v>
      </c>
      <c r="C34" s="304">
        <v>92762</v>
      </c>
      <c r="D34" s="327" t="s">
        <v>372</v>
      </c>
      <c r="E34" s="44" t="s">
        <v>368</v>
      </c>
      <c r="F34" s="34">
        <v>899.1</v>
      </c>
      <c r="G34" s="35" t="s">
        <v>496</v>
      </c>
      <c r="H34" s="36">
        <f t="shared" si="2"/>
        <v>12.63</v>
      </c>
      <c r="I34" s="34">
        <f t="shared" si="3"/>
        <v>11355.63</v>
      </c>
      <c r="AE34" s="31" t="s">
        <v>127</v>
      </c>
    </row>
    <row r="35" spans="1:31" s="31" customFormat="1" ht="33.75" x14ac:dyDescent="0.2">
      <c r="A35" s="303" t="s">
        <v>17</v>
      </c>
      <c r="B35" s="304" t="s">
        <v>59</v>
      </c>
      <c r="C35" s="304">
        <v>92763</v>
      </c>
      <c r="D35" s="327" t="s">
        <v>373</v>
      </c>
      <c r="E35" s="44" t="s">
        <v>368</v>
      </c>
      <c r="F35" s="34">
        <v>2468.9499999999998</v>
      </c>
      <c r="G35" s="35" t="s">
        <v>497</v>
      </c>
      <c r="H35" s="36">
        <f t="shared" si="2"/>
        <v>10.62</v>
      </c>
      <c r="I35" s="34">
        <f t="shared" si="3"/>
        <v>26220.240000000002</v>
      </c>
      <c r="AE35" s="31" t="s">
        <v>127</v>
      </c>
    </row>
    <row r="36" spans="1:31" s="31" customFormat="1" ht="33.75" x14ac:dyDescent="0.2">
      <c r="A36" s="303" t="s">
        <v>812</v>
      </c>
      <c r="B36" s="304" t="s">
        <v>59</v>
      </c>
      <c r="C36" s="304">
        <v>92759</v>
      </c>
      <c r="D36" s="327" t="s">
        <v>374</v>
      </c>
      <c r="E36" s="44" t="s">
        <v>368</v>
      </c>
      <c r="F36" s="34">
        <v>1122.3699999999999</v>
      </c>
      <c r="G36" s="35" t="s">
        <v>491</v>
      </c>
      <c r="H36" s="36">
        <f t="shared" si="2"/>
        <v>15.94</v>
      </c>
      <c r="I36" s="34">
        <f t="shared" si="3"/>
        <v>17890.57</v>
      </c>
      <c r="AE36" s="31" t="s">
        <v>127</v>
      </c>
    </row>
    <row r="37" spans="1:31" s="10" customFormat="1" ht="45" x14ac:dyDescent="0.2">
      <c r="A37" s="303" t="s">
        <v>813</v>
      </c>
      <c r="B37" s="304" t="s">
        <v>59</v>
      </c>
      <c r="C37" s="304">
        <v>104110</v>
      </c>
      <c r="D37" s="327" t="s">
        <v>469</v>
      </c>
      <c r="E37" s="44" t="s">
        <v>368</v>
      </c>
      <c r="F37" s="34">
        <v>310.38</v>
      </c>
      <c r="G37" s="35" t="s">
        <v>498</v>
      </c>
      <c r="H37" s="36">
        <f t="shared" si="2"/>
        <v>20.21</v>
      </c>
      <c r="I37" s="34">
        <f t="shared" si="3"/>
        <v>6272.77</v>
      </c>
    </row>
    <row r="38" spans="1:31" s="31" customFormat="1" ht="33.75" x14ac:dyDescent="0.2">
      <c r="A38" s="303" t="s">
        <v>814</v>
      </c>
      <c r="B38" s="304" t="s">
        <v>59</v>
      </c>
      <c r="C38" s="304">
        <v>94966</v>
      </c>
      <c r="D38" s="327" t="s">
        <v>451</v>
      </c>
      <c r="E38" s="44" t="s">
        <v>118</v>
      </c>
      <c r="F38" s="34">
        <v>109.22999999999999</v>
      </c>
      <c r="G38" s="35" t="s">
        <v>492</v>
      </c>
      <c r="H38" s="36">
        <f t="shared" si="2"/>
        <v>622.08000000000004</v>
      </c>
      <c r="I38" s="34">
        <f t="shared" si="3"/>
        <v>67949.789999999994</v>
      </c>
      <c r="AE38" s="31" t="s">
        <v>127</v>
      </c>
    </row>
    <row r="39" spans="1:31" s="31" customFormat="1" ht="33.75" x14ac:dyDescent="0.2">
      <c r="A39" s="303" t="s">
        <v>815</v>
      </c>
      <c r="B39" s="304" t="s">
        <v>59</v>
      </c>
      <c r="C39" s="304" t="s">
        <v>378</v>
      </c>
      <c r="D39" s="327" t="s">
        <v>379</v>
      </c>
      <c r="E39" s="44" t="s">
        <v>118</v>
      </c>
      <c r="F39" s="34">
        <v>109.23</v>
      </c>
      <c r="G39" s="35" t="s">
        <v>493</v>
      </c>
      <c r="H39" s="36">
        <f t="shared" si="2"/>
        <v>332.6</v>
      </c>
      <c r="I39" s="34">
        <f t="shared" si="3"/>
        <v>36329.89</v>
      </c>
      <c r="AE39" s="31" t="s">
        <v>127</v>
      </c>
    </row>
    <row r="40" spans="1:31" s="31" customFormat="1" ht="45" x14ac:dyDescent="0.2">
      <c r="A40" s="303" t="s">
        <v>816</v>
      </c>
      <c r="B40" s="328" t="s">
        <v>59</v>
      </c>
      <c r="C40" s="328">
        <v>101963</v>
      </c>
      <c r="D40" s="326" t="s">
        <v>207</v>
      </c>
      <c r="E40" s="44" t="s">
        <v>112</v>
      </c>
      <c r="F40" s="34">
        <v>817.00000000000023</v>
      </c>
      <c r="G40" s="35" t="s">
        <v>499</v>
      </c>
      <c r="H40" s="36">
        <f t="shared" si="2"/>
        <v>240.87</v>
      </c>
      <c r="I40" s="34">
        <f t="shared" si="3"/>
        <v>196790.79</v>
      </c>
      <c r="AE40" s="31" t="s">
        <v>128</v>
      </c>
    </row>
    <row r="41" spans="1:31" s="31" customFormat="1" ht="22.5" x14ac:dyDescent="0.2">
      <c r="A41" s="303" t="s">
        <v>817</v>
      </c>
      <c r="B41" s="328" t="s">
        <v>59</v>
      </c>
      <c r="C41" s="328" t="s">
        <v>500</v>
      </c>
      <c r="D41" s="326" t="s">
        <v>501</v>
      </c>
      <c r="E41" s="44" t="s">
        <v>12</v>
      </c>
      <c r="F41" s="34">
        <v>86.1</v>
      </c>
      <c r="G41" s="35" t="s">
        <v>502</v>
      </c>
      <c r="H41" s="36">
        <f t="shared" si="2"/>
        <v>25.49</v>
      </c>
      <c r="I41" s="34">
        <f t="shared" si="3"/>
        <v>2194.6799999999998</v>
      </c>
      <c r="AE41" s="31" t="s">
        <v>129</v>
      </c>
    </row>
    <row r="42" spans="1:31" s="263" customFormat="1" ht="10.5" customHeight="1" x14ac:dyDescent="0.2">
      <c r="A42" s="252" t="s">
        <v>236</v>
      </c>
      <c r="B42" s="337"/>
      <c r="C42" s="253"/>
      <c r="D42" s="254" t="s">
        <v>42</v>
      </c>
      <c r="E42" s="255"/>
      <c r="F42" s="257"/>
      <c r="G42" s="258"/>
      <c r="H42" s="259"/>
      <c r="I42" s="260">
        <f>SUM(I43:I47)</f>
        <v>185017.77</v>
      </c>
      <c r="J42" s="261" t="s">
        <v>110</v>
      </c>
      <c r="K42" s="262" t="s">
        <v>160</v>
      </c>
      <c r="AE42" s="264"/>
    </row>
    <row r="43" spans="1:31" s="31" customFormat="1" ht="45" x14ac:dyDescent="0.2">
      <c r="A43" s="303" t="s">
        <v>20</v>
      </c>
      <c r="B43" s="304" t="s">
        <v>59</v>
      </c>
      <c r="C43" s="304" t="s">
        <v>254</v>
      </c>
      <c r="D43" s="326" t="s">
        <v>255</v>
      </c>
      <c r="E43" s="44" t="s">
        <v>112</v>
      </c>
      <c r="F43" s="34">
        <v>665.55</v>
      </c>
      <c r="G43" s="35" t="s">
        <v>503</v>
      </c>
      <c r="H43" s="36">
        <f>ROUND(G43*(1+$L$5),2)</f>
        <v>98.17</v>
      </c>
      <c r="I43" s="34">
        <f>TRUNC(F43*H43,2)</f>
        <v>65337.04</v>
      </c>
      <c r="AE43" s="31" t="s">
        <v>130</v>
      </c>
    </row>
    <row r="44" spans="1:31" s="31" customFormat="1" ht="45" x14ac:dyDescent="0.2">
      <c r="A44" s="303" t="s">
        <v>21</v>
      </c>
      <c r="B44" s="304" t="s">
        <v>59</v>
      </c>
      <c r="C44" s="304" t="s">
        <v>117</v>
      </c>
      <c r="D44" s="326" t="s">
        <v>156</v>
      </c>
      <c r="E44" s="44" t="s">
        <v>112</v>
      </c>
      <c r="F44" s="34">
        <v>2148.1</v>
      </c>
      <c r="G44" s="35">
        <v>4.26</v>
      </c>
      <c r="H44" s="36">
        <f>ROUND(G44*(1+$L$5),2)</f>
        <v>5.13</v>
      </c>
      <c r="I44" s="34">
        <f>TRUNC(F44*H44,2)</f>
        <v>11019.75</v>
      </c>
      <c r="AE44" s="31" t="s">
        <v>131</v>
      </c>
    </row>
    <row r="45" spans="1:31" s="31" customFormat="1" ht="56.25" x14ac:dyDescent="0.2">
      <c r="A45" s="303" t="s">
        <v>22</v>
      </c>
      <c r="B45" s="304" t="s">
        <v>59</v>
      </c>
      <c r="C45" s="304" t="s">
        <v>256</v>
      </c>
      <c r="D45" s="326" t="s">
        <v>257</v>
      </c>
      <c r="E45" s="44" t="s">
        <v>112</v>
      </c>
      <c r="F45" s="34">
        <v>1387.02</v>
      </c>
      <c r="G45" s="35" t="s">
        <v>504</v>
      </c>
      <c r="H45" s="36">
        <f>ROUND(G45*(1+$L$5),2)</f>
        <v>49.06</v>
      </c>
      <c r="I45" s="34">
        <f>TRUNC(F45*H45,2)</f>
        <v>68047.199999999997</v>
      </c>
      <c r="AE45" s="31" t="s">
        <v>132</v>
      </c>
    </row>
    <row r="46" spans="1:31" s="31" customFormat="1" ht="45" x14ac:dyDescent="0.2">
      <c r="A46" s="303" t="s">
        <v>274</v>
      </c>
      <c r="B46" s="304" t="s">
        <v>506</v>
      </c>
      <c r="C46" s="304">
        <v>4442</v>
      </c>
      <c r="D46" s="326" t="s">
        <v>505</v>
      </c>
      <c r="E46" s="44" t="s">
        <v>112</v>
      </c>
      <c r="F46" s="34">
        <v>379.84000000000003</v>
      </c>
      <c r="G46" s="35">
        <v>77.819999999999993</v>
      </c>
      <c r="H46" s="36">
        <f>ROUND(G46*(1+$L$5),2)</f>
        <v>93.77</v>
      </c>
      <c r="I46" s="34">
        <f>TRUNC(F46*H46,2)</f>
        <v>35617.589999999997</v>
      </c>
      <c r="AE46" s="31" t="s">
        <v>133</v>
      </c>
    </row>
    <row r="47" spans="1:31" s="31" customFormat="1" ht="45" x14ac:dyDescent="0.2">
      <c r="A47" s="303" t="s">
        <v>818</v>
      </c>
      <c r="B47" s="304" t="s">
        <v>59</v>
      </c>
      <c r="C47" s="304" t="s">
        <v>568</v>
      </c>
      <c r="D47" s="326" t="s">
        <v>569</v>
      </c>
      <c r="E47" s="44" t="s">
        <v>112</v>
      </c>
      <c r="F47" s="34">
        <v>19.66</v>
      </c>
      <c r="G47" s="35" t="s">
        <v>570</v>
      </c>
      <c r="H47" s="36">
        <f>ROUND(G47*(1+$L$5),2)</f>
        <v>254.13</v>
      </c>
      <c r="I47" s="34">
        <f>TRUNC(F47*H47,2)</f>
        <v>4996.1899999999996</v>
      </c>
      <c r="AE47" s="31" t="s">
        <v>133</v>
      </c>
    </row>
    <row r="48" spans="1:31" s="263" customFormat="1" ht="10.5" customHeight="1" x14ac:dyDescent="0.2">
      <c r="A48" s="252" t="s">
        <v>237</v>
      </c>
      <c r="B48" s="337"/>
      <c r="C48" s="253"/>
      <c r="D48" s="254" t="s">
        <v>43</v>
      </c>
      <c r="E48" s="255"/>
      <c r="F48" s="257"/>
      <c r="G48" s="258"/>
      <c r="H48" s="259"/>
      <c r="I48" s="260">
        <f>SUM(I49:I51)</f>
        <v>127753.76999999999</v>
      </c>
      <c r="J48" s="261" t="s">
        <v>110</v>
      </c>
      <c r="K48" s="262" t="s">
        <v>160</v>
      </c>
      <c r="AE48" s="264"/>
    </row>
    <row r="49" spans="1:31" s="31" customFormat="1" ht="33.75" x14ac:dyDescent="0.2">
      <c r="A49" s="303" t="s">
        <v>29</v>
      </c>
      <c r="B49" s="304" t="s">
        <v>59</v>
      </c>
      <c r="C49" s="304">
        <v>95241</v>
      </c>
      <c r="D49" s="326" t="s">
        <v>508</v>
      </c>
      <c r="E49" s="44" t="s">
        <v>112</v>
      </c>
      <c r="F49" s="34">
        <v>21</v>
      </c>
      <c r="G49" s="35" t="s">
        <v>507</v>
      </c>
      <c r="H49" s="36">
        <f>ROUND(G49*(1+$L$5),2)</f>
        <v>43.69</v>
      </c>
      <c r="I49" s="34">
        <f>TRUNC(F49*H49,2)</f>
        <v>917.49</v>
      </c>
      <c r="AE49" s="31" t="s">
        <v>134</v>
      </c>
    </row>
    <row r="50" spans="1:31" s="31" customFormat="1" ht="56.25" x14ac:dyDescent="0.2">
      <c r="A50" s="303" t="s">
        <v>30</v>
      </c>
      <c r="B50" s="304" t="s">
        <v>59</v>
      </c>
      <c r="C50" s="304">
        <v>87630</v>
      </c>
      <c r="D50" s="326" t="s">
        <v>509</v>
      </c>
      <c r="E50" s="44" t="s">
        <v>112</v>
      </c>
      <c r="F50" s="34">
        <v>801.24</v>
      </c>
      <c r="G50" s="35" t="s">
        <v>510</v>
      </c>
      <c r="H50" s="36">
        <f>ROUND(G50*(1+$L$5),2)</f>
        <v>48.07</v>
      </c>
      <c r="I50" s="34">
        <f>TRUNC(F50*H50,2)</f>
        <v>38515.599999999999</v>
      </c>
      <c r="AE50" s="31" t="s">
        <v>135</v>
      </c>
    </row>
    <row r="51" spans="1:31" s="31" customFormat="1" ht="67.5" x14ac:dyDescent="0.2">
      <c r="A51" s="303" t="s">
        <v>275</v>
      </c>
      <c r="B51" s="304" t="s">
        <v>59</v>
      </c>
      <c r="C51" s="304" t="s">
        <v>511</v>
      </c>
      <c r="D51" s="326" t="s">
        <v>512</v>
      </c>
      <c r="E51" s="44" t="s">
        <v>112</v>
      </c>
      <c r="F51" s="34">
        <v>801.24</v>
      </c>
      <c r="G51" s="35" t="s">
        <v>513</v>
      </c>
      <c r="H51" s="36">
        <f>ROUND(G51*(1+$L$5),2)</f>
        <v>110.23</v>
      </c>
      <c r="I51" s="34">
        <f>TRUNC(F51*H51,2)</f>
        <v>88320.68</v>
      </c>
      <c r="AE51" s="31" t="s">
        <v>135</v>
      </c>
    </row>
    <row r="52" spans="1:31" s="263" customFormat="1" ht="10.5" customHeight="1" x14ac:dyDescent="0.2">
      <c r="A52" s="252" t="s">
        <v>238</v>
      </c>
      <c r="B52" s="337"/>
      <c r="C52" s="253"/>
      <c r="D52" s="254" t="s">
        <v>41</v>
      </c>
      <c r="E52" s="255"/>
      <c r="F52" s="257"/>
      <c r="G52" s="258"/>
      <c r="H52" s="259"/>
      <c r="I52" s="260">
        <f>SUM(I53:I58)</f>
        <v>139545.16999999998</v>
      </c>
      <c r="J52" s="261" t="s">
        <v>110</v>
      </c>
      <c r="K52" s="262" t="s">
        <v>160</v>
      </c>
      <c r="AE52" s="264"/>
    </row>
    <row r="53" spans="1:31" s="31" customFormat="1" ht="45" x14ac:dyDescent="0.2">
      <c r="A53" s="303" t="s">
        <v>31</v>
      </c>
      <c r="B53" s="328" t="s">
        <v>59</v>
      </c>
      <c r="C53" s="328" t="s">
        <v>327</v>
      </c>
      <c r="D53" s="326" t="s">
        <v>328</v>
      </c>
      <c r="E53" s="44" t="s">
        <v>112</v>
      </c>
      <c r="F53" s="34">
        <v>533.24</v>
      </c>
      <c r="G53" s="35" t="s">
        <v>514</v>
      </c>
      <c r="H53" s="36">
        <f t="shared" ref="H53:H58" si="4">ROUND(G53*(1+$L$5),2)</f>
        <v>103.45</v>
      </c>
      <c r="I53" s="34">
        <f t="shared" ref="I53:I58" si="5">TRUNC(F53*H53,2)</f>
        <v>55163.67</v>
      </c>
      <c r="AE53" s="31" t="s">
        <v>136</v>
      </c>
    </row>
    <row r="54" spans="1:31" s="31" customFormat="1" ht="56.25" x14ac:dyDescent="0.2">
      <c r="A54" s="303" t="s">
        <v>97</v>
      </c>
      <c r="B54" s="328" t="s">
        <v>59</v>
      </c>
      <c r="C54" s="328" t="s">
        <v>566</v>
      </c>
      <c r="D54" s="326" t="s">
        <v>567</v>
      </c>
      <c r="E54" s="44" t="s">
        <v>368</v>
      </c>
      <c r="F54" s="34">
        <v>1313.1399999999999</v>
      </c>
      <c r="G54" s="35">
        <v>12.99</v>
      </c>
      <c r="H54" s="36">
        <f t="shared" si="4"/>
        <v>15.65</v>
      </c>
      <c r="I54" s="34">
        <f t="shared" si="5"/>
        <v>20550.64</v>
      </c>
      <c r="AE54" s="31" t="s">
        <v>137</v>
      </c>
    </row>
    <row r="55" spans="1:31" s="31" customFormat="1" ht="33.75" x14ac:dyDescent="0.2">
      <c r="A55" s="303" t="s">
        <v>280</v>
      </c>
      <c r="B55" s="328" t="s">
        <v>59</v>
      </c>
      <c r="C55" s="328" t="s">
        <v>329</v>
      </c>
      <c r="D55" s="326" t="s">
        <v>330</v>
      </c>
      <c r="E55" s="44" t="s">
        <v>112</v>
      </c>
      <c r="F55" s="34">
        <v>364.58000000000004</v>
      </c>
      <c r="G55" s="35" t="s">
        <v>515</v>
      </c>
      <c r="H55" s="36">
        <f t="shared" si="4"/>
        <v>61.07</v>
      </c>
      <c r="I55" s="34">
        <f t="shared" si="5"/>
        <v>22264.9</v>
      </c>
      <c r="AE55" s="31" t="s">
        <v>137</v>
      </c>
    </row>
    <row r="56" spans="1:31" s="31" customFormat="1" ht="22.5" x14ac:dyDescent="0.2">
      <c r="A56" s="303" t="s">
        <v>355</v>
      </c>
      <c r="B56" s="328" t="s">
        <v>59</v>
      </c>
      <c r="C56" s="328" t="s">
        <v>228</v>
      </c>
      <c r="D56" s="326" t="s">
        <v>229</v>
      </c>
      <c r="E56" s="44" t="s">
        <v>112</v>
      </c>
      <c r="F56" s="34">
        <v>495.77</v>
      </c>
      <c r="G56" s="35" t="s">
        <v>516</v>
      </c>
      <c r="H56" s="36">
        <f t="shared" si="4"/>
        <v>56.94</v>
      </c>
      <c r="I56" s="34">
        <f t="shared" si="5"/>
        <v>28229.14</v>
      </c>
      <c r="AE56" s="31" t="s">
        <v>138</v>
      </c>
    </row>
    <row r="57" spans="1:31" s="31" customFormat="1" ht="33.75" x14ac:dyDescent="0.2">
      <c r="A57" s="303" t="s">
        <v>356</v>
      </c>
      <c r="B57" s="328" t="s">
        <v>59</v>
      </c>
      <c r="C57" s="328" t="s">
        <v>331</v>
      </c>
      <c r="D57" s="326" t="s">
        <v>332</v>
      </c>
      <c r="E57" s="44" t="s">
        <v>109</v>
      </c>
      <c r="F57" s="34">
        <v>56</v>
      </c>
      <c r="G57" s="35" t="s">
        <v>517</v>
      </c>
      <c r="H57" s="36">
        <f t="shared" si="4"/>
        <v>28.8</v>
      </c>
      <c r="I57" s="34">
        <f t="shared" si="5"/>
        <v>1612.8</v>
      </c>
      <c r="AE57" s="31" t="s">
        <v>137</v>
      </c>
    </row>
    <row r="58" spans="1:31" s="31" customFormat="1" ht="33.75" x14ac:dyDescent="0.2">
      <c r="A58" s="303" t="s">
        <v>819</v>
      </c>
      <c r="B58" s="328" t="s">
        <v>59</v>
      </c>
      <c r="C58" s="328" t="s">
        <v>333</v>
      </c>
      <c r="D58" s="326" t="s">
        <v>334</v>
      </c>
      <c r="E58" s="44" t="s">
        <v>109</v>
      </c>
      <c r="F58" s="34">
        <v>66.2</v>
      </c>
      <c r="G58" s="35" t="s">
        <v>518</v>
      </c>
      <c r="H58" s="36">
        <f t="shared" si="4"/>
        <v>177.1</v>
      </c>
      <c r="I58" s="34">
        <f t="shared" si="5"/>
        <v>11724.02</v>
      </c>
      <c r="AE58" s="31" t="s">
        <v>138</v>
      </c>
    </row>
    <row r="59" spans="1:31" s="263" customFormat="1" ht="10.5" customHeight="1" x14ac:dyDescent="0.2">
      <c r="A59" s="252" t="s">
        <v>239</v>
      </c>
      <c r="B59" s="337"/>
      <c r="C59" s="253"/>
      <c r="D59" s="254" t="s">
        <v>44</v>
      </c>
      <c r="E59" s="255"/>
      <c r="F59" s="257"/>
      <c r="G59" s="258"/>
      <c r="H59" s="259"/>
      <c r="I59" s="260">
        <f>SUM(I60:I65)</f>
        <v>78982.86</v>
      </c>
      <c r="J59" s="261" t="s">
        <v>110</v>
      </c>
      <c r="K59" s="262" t="s">
        <v>160</v>
      </c>
      <c r="AE59" s="264"/>
    </row>
    <row r="60" spans="1:31" s="31" customFormat="1" ht="56.25" x14ac:dyDescent="0.2">
      <c r="A60" s="303" t="s">
        <v>32</v>
      </c>
      <c r="B60" s="328" t="s">
        <v>59</v>
      </c>
      <c r="C60" s="328" t="s">
        <v>258</v>
      </c>
      <c r="D60" s="326" t="s">
        <v>259</v>
      </c>
      <c r="E60" s="44" t="s">
        <v>115</v>
      </c>
      <c r="F60" s="34">
        <v>10</v>
      </c>
      <c r="G60" s="35" t="s">
        <v>519</v>
      </c>
      <c r="H60" s="36">
        <f t="shared" ref="H60:H65" si="6">ROUND(G60*(1+$L$5),2)</f>
        <v>1020.96</v>
      </c>
      <c r="I60" s="34">
        <f t="shared" ref="I60:I65" si="7">TRUNC(F60*H60,2)</f>
        <v>10209.6</v>
      </c>
      <c r="AE60" s="31" t="s">
        <v>139</v>
      </c>
    </row>
    <row r="61" spans="1:31" s="31" customFormat="1" ht="56.25" x14ac:dyDescent="0.2">
      <c r="A61" s="303" t="s">
        <v>820</v>
      </c>
      <c r="B61" s="328" t="s">
        <v>59</v>
      </c>
      <c r="C61" s="328" t="s">
        <v>335</v>
      </c>
      <c r="D61" s="326" t="s">
        <v>336</v>
      </c>
      <c r="E61" s="44" t="s">
        <v>115</v>
      </c>
      <c r="F61" s="34">
        <v>12</v>
      </c>
      <c r="G61" s="35" t="s">
        <v>520</v>
      </c>
      <c r="H61" s="36">
        <f t="shared" si="6"/>
        <v>664.22</v>
      </c>
      <c r="I61" s="34">
        <f t="shared" si="7"/>
        <v>7970.64</v>
      </c>
      <c r="AE61" s="31" t="s">
        <v>139</v>
      </c>
    </row>
    <row r="62" spans="1:31" s="31" customFormat="1" ht="22.5" x14ac:dyDescent="0.2">
      <c r="A62" s="303" t="s">
        <v>821</v>
      </c>
      <c r="B62" s="328" t="s">
        <v>59</v>
      </c>
      <c r="C62" s="328" t="s">
        <v>557</v>
      </c>
      <c r="D62" s="326" t="s">
        <v>558</v>
      </c>
      <c r="E62" s="44" t="s">
        <v>115</v>
      </c>
      <c r="F62" s="34">
        <v>2</v>
      </c>
      <c r="G62" s="35" t="s">
        <v>559</v>
      </c>
      <c r="H62" s="36">
        <f t="shared" si="6"/>
        <v>457.26</v>
      </c>
      <c r="I62" s="34">
        <f t="shared" si="7"/>
        <v>914.52</v>
      </c>
      <c r="AE62" s="31" t="s">
        <v>139</v>
      </c>
    </row>
    <row r="63" spans="1:31" s="31" customFormat="1" ht="33.75" x14ac:dyDescent="0.2">
      <c r="A63" s="303" t="s">
        <v>822</v>
      </c>
      <c r="B63" s="328" t="s">
        <v>562</v>
      </c>
      <c r="C63" s="328" t="s">
        <v>560</v>
      </c>
      <c r="D63" s="326" t="s">
        <v>561</v>
      </c>
      <c r="E63" s="44" t="s">
        <v>112</v>
      </c>
      <c r="F63" s="34">
        <v>7.2</v>
      </c>
      <c r="G63" s="35">
        <v>122.37</v>
      </c>
      <c r="H63" s="36">
        <f t="shared" si="6"/>
        <v>147.46</v>
      </c>
      <c r="I63" s="34">
        <f t="shared" si="7"/>
        <v>1061.71</v>
      </c>
      <c r="AE63" s="31" t="s">
        <v>139</v>
      </c>
    </row>
    <row r="64" spans="1:31" s="31" customFormat="1" ht="56.25" x14ac:dyDescent="0.2">
      <c r="A64" s="303" t="s">
        <v>823</v>
      </c>
      <c r="B64" s="328" t="s">
        <v>59</v>
      </c>
      <c r="C64" s="328" t="s">
        <v>337</v>
      </c>
      <c r="D64" s="326" t="s">
        <v>338</v>
      </c>
      <c r="E64" s="44" t="s">
        <v>112</v>
      </c>
      <c r="F64" s="34">
        <v>2.2400000000000002</v>
      </c>
      <c r="G64" s="35" t="s">
        <v>521</v>
      </c>
      <c r="H64" s="36">
        <f t="shared" si="6"/>
        <v>286.27999999999997</v>
      </c>
      <c r="I64" s="34">
        <f t="shared" si="7"/>
        <v>641.26</v>
      </c>
      <c r="AE64" s="31" t="s">
        <v>139</v>
      </c>
    </row>
    <row r="65" spans="1:31" s="31" customFormat="1" ht="67.5" x14ac:dyDescent="0.2">
      <c r="A65" s="303" t="s">
        <v>824</v>
      </c>
      <c r="B65" s="328" t="s">
        <v>59</v>
      </c>
      <c r="C65" s="328" t="s">
        <v>794</v>
      </c>
      <c r="D65" s="326" t="s">
        <v>795</v>
      </c>
      <c r="E65" s="44" t="s">
        <v>112</v>
      </c>
      <c r="F65" s="34">
        <v>40.5</v>
      </c>
      <c r="G65" s="35" t="s">
        <v>796</v>
      </c>
      <c r="H65" s="36">
        <f t="shared" si="6"/>
        <v>1436.67</v>
      </c>
      <c r="I65" s="34">
        <f t="shared" si="7"/>
        <v>58185.13</v>
      </c>
      <c r="AE65" s="31" t="s">
        <v>139</v>
      </c>
    </row>
    <row r="66" spans="1:31" s="263" customFormat="1" ht="10.5" customHeight="1" x14ac:dyDescent="0.2">
      <c r="A66" s="252" t="s">
        <v>240</v>
      </c>
      <c r="B66" s="337"/>
      <c r="C66" s="253"/>
      <c r="D66" s="254" t="s">
        <v>45</v>
      </c>
      <c r="E66" s="255"/>
      <c r="F66" s="257"/>
      <c r="G66" s="258"/>
      <c r="H66" s="259"/>
      <c r="I66" s="260">
        <f>SUM(I67:I69)</f>
        <v>35238.840000000004</v>
      </c>
      <c r="J66" s="261" t="s">
        <v>110</v>
      </c>
      <c r="K66" s="262" t="s">
        <v>160</v>
      </c>
      <c r="AE66" s="264"/>
    </row>
    <row r="67" spans="1:31" s="31" customFormat="1" ht="22.5" x14ac:dyDescent="0.2">
      <c r="A67" s="303" t="s">
        <v>33</v>
      </c>
      <c r="B67" s="304" t="s">
        <v>59</v>
      </c>
      <c r="C67" s="304" t="s">
        <v>119</v>
      </c>
      <c r="D67" s="326" t="s">
        <v>522</v>
      </c>
      <c r="E67" s="44" t="s">
        <v>112</v>
      </c>
      <c r="F67" s="34">
        <v>1502.95</v>
      </c>
      <c r="G67" s="35">
        <v>4.32</v>
      </c>
      <c r="H67" s="36">
        <f>ROUND(G67*(1+$L$5),2)</f>
        <v>5.21</v>
      </c>
      <c r="I67" s="34">
        <f>TRUNC(F67*H67,2)</f>
        <v>7830.36</v>
      </c>
      <c r="AE67" s="31" t="s">
        <v>140</v>
      </c>
    </row>
    <row r="68" spans="1:31" s="31" customFormat="1" ht="22.5" x14ac:dyDescent="0.2">
      <c r="A68" s="303" t="s">
        <v>276</v>
      </c>
      <c r="B68" s="304" t="s">
        <v>59</v>
      </c>
      <c r="C68" s="304" t="s">
        <v>120</v>
      </c>
      <c r="D68" s="326" t="s">
        <v>157</v>
      </c>
      <c r="E68" s="44" t="s">
        <v>112</v>
      </c>
      <c r="F68" s="34">
        <v>1502.95</v>
      </c>
      <c r="G68" s="35">
        <v>13.25</v>
      </c>
      <c r="H68" s="36">
        <f>ROUND(G68*(1+$L$5),2)</f>
        <v>15.97</v>
      </c>
      <c r="I68" s="34">
        <f>TRUNC(F68*H68,2)</f>
        <v>24002.11</v>
      </c>
      <c r="AE68" s="31" t="s">
        <v>141</v>
      </c>
    </row>
    <row r="69" spans="1:31" s="31" customFormat="1" ht="33.75" x14ac:dyDescent="0.2">
      <c r="A69" s="303" t="s">
        <v>34</v>
      </c>
      <c r="B69" s="304" t="s">
        <v>59</v>
      </c>
      <c r="C69" s="304" t="s">
        <v>260</v>
      </c>
      <c r="D69" s="326" t="s">
        <v>261</v>
      </c>
      <c r="E69" s="44" t="s">
        <v>112</v>
      </c>
      <c r="F69" s="34">
        <v>176.04000000000002</v>
      </c>
      <c r="G69" s="35">
        <v>16.059999999999999</v>
      </c>
      <c r="H69" s="36">
        <f>ROUND(G69*(1+$L$5),2)</f>
        <v>19.350000000000001</v>
      </c>
      <c r="I69" s="34">
        <f>TRUNC(F69*H69,2)</f>
        <v>3406.37</v>
      </c>
      <c r="AE69" s="31" t="s">
        <v>142</v>
      </c>
    </row>
    <row r="70" spans="1:31" s="263" customFormat="1" ht="10.5" customHeight="1" x14ac:dyDescent="0.2">
      <c r="A70" s="252" t="s">
        <v>224</v>
      </c>
      <c r="B70" s="337"/>
      <c r="C70" s="253"/>
      <c r="D70" s="254" t="s">
        <v>46</v>
      </c>
      <c r="E70" s="255"/>
      <c r="F70" s="257"/>
      <c r="G70" s="258"/>
      <c r="H70" s="259"/>
      <c r="I70" s="260">
        <f>SUM(I71:I78)</f>
        <v>27747.199999999997</v>
      </c>
      <c r="J70" s="261" t="s">
        <v>110</v>
      </c>
      <c r="K70" s="262" t="s">
        <v>160</v>
      </c>
      <c r="AE70" s="264"/>
    </row>
    <row r="71" spans="1:31" s="10" customFormat="1" ht="45" x14ac:dyDescent="0.2">
      <c r="A71" s="303" t="s">
        <v>35</v>
      </c>
      <c r="B71" s="304" t="s">
        <v>246</v>
      </c>
      <c r="C71" s="329" t="s">
        <v>161</v>
      </c>
      <c r="D71" s="326" t="s">
        <v>264</v>
      </c>
      <c r="E71" s="44" t="s">
        <v>115</v>
      </c>
      <c r="F71" s="34">
        <v>62</v>
      </c>
      <c r="G71" s="35">
        <f>COMPOSIÇÕES!I69</f>
        <v>50.41</v>
      </c>
      <c r="H71" s="36">
        <f t="shared" ref="H71:H78" si="8">ROUND(G71*(1+$L$5),2)</f>
        <v>60.74</v>
      </c>
      <c r="I71" s="34">
        <f t="shared" ref="I71:I78" si="9">TRUNC(F71*H71,2)</f>
        <v>3765.88</v>
      </c>
      <c r="J71" s="31"/>
      <c r="L71" s="31"/>
      <c r="AE71" s="31" t="s">
        <v>143</v>
      </c>
    </row>
    <row r="72" spans="1:31" s="10" customFormat="1" ht="45" x14ac:dyDescent="0.2">
      <c r="A72" s="303" t="s">
        <v>36</v>
      </c>
      <c r="B72" s="304" t="s">
        <v>246</v>
      </c>
      <c r="C72" s="329" t="s">
        <v>164</v>
      </c>
      <c r="D72" s="326" t="s">
        <v>267</v>
      </c>
      <c r="E72" s="44" t="s">
        <v>115</v>
      </c>
      <c r="F72" s="34">
        <v>7</v>
      </c>
      <c r="G72" s="35">
        <f>COMPOSIÇÕES!I87</f>
        <v>135.63999999999999</v>
      </c>
      <c r="H72" s="36">
        <f t="shared" si="8"/>
        <v>163.44999999999999</v>
      </c>
      <c r="I72" s="34">
        <f t="shared" si="9"/>
        <v>1144.1500000000001</v>
      </c>
      <c r="J72" s="31"/>
      <c r="L72" s="31"/>
      <c r="AE72" s="31" t="s">
        <v>144</v>
      </c>
    </row>
    <row r="73" spans="1:31" s="10" customFormat="1" ht="56.25" x14ac:dyDescent="0.2">
      <c r="A73" s="303" t="s">
        <v>277</v>
      </c>
      <c r="B73" s="304" t="s">
        <v>246</v>
      </c>
      <c r="C73" s="329" t="s">
        <v>298</v>
      </c>
      <c r="D73" s="326" t="s">
        <v>340</v>
      </c>
      <c r="E73" s="44" t="s">
        <v>115</v>
      </c>
      <c r="F73" s="34">
        <v>6</v>
      </c>
      <c r="G73" s="35">
        <f>COMPOSIÇÕES!I55</f>
        <v>150.63999999999999</v>
      </c>
      <c r="H73" s="36">
        <f t="shared" si="8"/>
        <v>181.52</v>
      </c>
      <c r="I73" s="34">
        <f t="shared" si="9"/>
        <v>1089.1199999999999</v>
      </c>
      <c r="J73" s="31"/>
      <c r="L73" s="31"/>
      <c r="AE73" s="31" t="s">
        <v>144</v>
      </c>
    </row>
    <row r="74" spans="1:31" s="10" customFormat="1" ht="56.25" x14ac:dyDescent="0.2">
      <c r="A74" s="303" t="s">
        <v>278</v>
      </c>
      <c r="B74" s="304" t="s">
        <v>246</v>
      </c>
      <c r="C74" s="329" t="s">
        <v>799</v>
      </c>
      <c r="D74" s="326" t="str">
        <f>COMPOSIÇÕES!A89</f>
        <v>COMPOSIÇÃO PARAMÉTRICA DE PONTO ELÉTRICO DE TOMADA DE USO GERAL 2P+T (10A/250V) EM EDIFÍCIO RESIDENCIAL COM ELETRODUTO EMBUTIDO EM RASGOS NAS PAREDES, INCLUSO TOMADA, ELETRODUTO, CABO, RASGO, QUEBRA E CHUMBAMENTO. AF_11/2022</v>
      </c>
      <c r="E74" s="44" t="s">
        <v>115</v>
      </c>
      <c r="F74" s="34">
        <v>41</v>
      </c>
      <c r="G74" s="35">
        <f>COMPOSIÇÕES!H94</f>
        <v>134.71</v>
      </c>
      <c r="H74" s="36">
        <f t="shared" si="8"/>
        <v>162.33000000000001</v>
      </c>
      <c r="I74" s="34">
        <f t="shared" si="9"/>
        <v>6655.53</v>
      </c>
      <c r="J74" s="31"/>
      <c r="L74" s="31"/>
      <c r="AE74" s="31" t="s">
        <v>143</v>
      </c>
    </row>
    <row r="75" spans="1:31" s="10" customFormat="1" ht="67.5" x14ac:dyDescent="0.2">
      <c r="A75" s="303" t="s">
        <v>358</v>
      </c>
      <c r="B75" s="304" t="s">
        <v>246</v>
      </c>
      <c r="C75" s="329" t="s">
        <v>800</v>
      </c>
      <c r="D75" s="326" t="str">
        <f>COMPOSIÇÕES!A108</f>
        <v>COMPOSIÇÃO PARAMÉTRICA DE PONTO ELÉTRICO DE TOMADA DE USO ESPECÍFICO 2P+T (20A/250V) EM EDIFÍCIO RESIDENCIAL COM ELETRODUTO EMBUTIDO EM RASGOS NAS PAREDES, INCLUSO TOMADA, ELETRODUTO, CABO, RASGO, QUEBRA E CHUMBAMENTO (EXCETO CHUVEIRO). AF_11/2022</v>
      </c>
      <c r="E75" s="44" t="s">
        <v>115</v>
      </c>
      <c r="F75" s="34">
        <v>8</v>
      </c>
      <c r="G75" s="35">
        <f>COMPOSIÇÕES!H113</f>
        <v>172.81</v>
      </c>
      <c r="H75" s="36">
        <f t="shared" si="8"/>
        <v>208.24</v>
      </c>
      <c r="I75" s="34">
        <f t="shared" si="9"/>
        <v>1665.92</v>
      </c>
      <c r="J75" s="31"/>
      <c r="L75" s="31"/>
      <c r="AE75" s="31" t="s">
        <v>143</v>
      </c>
    </row>
    <row r="76" spans="1:31" s="10" customFormat="1" ht="45" x14ac:dyDescent="0.2">
      <c r="A76" s="303" t="s">
        <v>359</v>
      </c>
      <c r="B76" s="304" t="s">
        <v>506</v>
      </c>
      <c r="C76" s="304">
        <v>12021</v>
      </c>
      <c r="D76" s="326" t="s">
        <v>523</v>
      </c>
      <c r="E76" s="44" t="s">
        <v>115</v>
      </c>
      <c r="F76" s="34">
        <v>62</v>
      </c>
      <c r="G76" s="35">
        <v>174.78</v>
      </c>
      <c r="H76" s="36">
        <f t="shared" si="8"/>
        <v>210.61</v>
      </c>
      <c r="I76" s="34">
        <f t="shared" si="9"/>
        <v>13057.82</v>
      </c>
      <c r="J76" s="31"/>
      <c r="L76" s="31"/>
      <c r="AE76" s="31" t="s">
        <v>145</v>
      </c>
    </row>
    <row r="77" spans="1:31" s="10" customFormat="1" ht="33.75" x14ac:dyDescent="0.2">
      <c r="A77" s="303" t="s">
        <v>360</v>
      </c>
      <c r="B77" s="304" t="s">
        <v>59</v>
      </c>
      <c r="C77" s="304" t="s">
        <v>524</v>
      </c>
      <c r="D77" s="326" t="s">
        <v>525</v>
      </c>
      <c r="E77" s="44" t="s">
        <v>115</v>
      </c>
      <c r="F77" s="34">
        <v>8</v>
      </c>
      <c r="G77" s="35" t="s">
        <v>526</v>
      </c>
      <c r="H77" s="36">
        <f t="shared" si="8"/>
        <v>20.71</v>
      </c>
      <c r="I77" s="34">
        <f t="shared" si="9"/>
        <v>165.68</v>
      </c>
      <c r="J77" s="31"/>
      <c r="L77" s="31"/>
      <c r="AE77" s="31" t="s">
        <v>146</v>
      </c>
    </row>
    <row r="78" spans="1:31" s="10" customFormat="1" ht="33.75" x14ac:dyDescent="0.2">
      <c r="A78" s="303" t="s">
        <v>361</v>
      </c>
      <c r="B78" s="304" t="s">
        <v>59</v>
      </c>
      <c r="C78" s="304" t="s">
        <v>351</v>
      </c>
      <c r="D78" s="326" t="s">
        <v>352</v>
      </c>
      <c r="E78" s="44" t="s">
        <v>115</v>
      </c>
      <c r="F78" s="34">
        <v>6</v>
      </c>
      <c r="G78" s="35">
        <v>28.09</v>
      </c>
      <c r="H78" s="36">
        <f t="shared" si="8"/>
        <v>33.85</v>
      </c>
      <c r="I78" s="34">
        <f t="shared" si="9"/>
        <v>203.1</v>
      </c>
      <c r="J78" s="31"/>
      <c r="L78" s="31"/>
      <c r="AE78" s="31" t="s">
        <v>146</v>
      </c>
    </row>
    <row r="79" spans="1:31" s="263" customFormat="1" ht="10.5" customHeight="1" x14ac:dyDescent="0.2">
      <c r="A79" s="252" t="s">
        <v>241</v>
      </c>
      <c r="B79" s="337"/>
      <c r="C79" s="253"/>
      <c r="D79" s="254" t="s">
        <v>49</v>
      </c>
      <c r="E79" s="255"/>
      <c r="F79" s="257"/>
      <c r="G79" s="302"/>
      <c r="H79" s="259"/>
      <c r="I79" s="260">
        <f>SUM(I80:I91)</f>
        <v>35033.26</v>
      </c>
      <c r="J79" s="261" t="s">
        <v>110</v>
      </c>
      <c r="K79" s="262" t="s">
        <v>160</v>
      </c>
      <c r="AE79" s="264"/>
    </row>
    <row r="80" spans="1:31" s="10" customFormat="1" ht="56.25" x14ac:dyDescent="0.2">
      <c r="A80" s="303" t="s">
        <v>37</v>
      </c>
      <c r="B80" s="304" t="s">
        <v>59</v>
      </c>
      <c r="C80" s="304" t="s">
        <v>533</v>
      </c>
      <c r="D80" s="326" t="s">
        <v>534</v>
      </c>
      <c r="E80" s="44" t="s">
        <v>115</v>
      </c>
      <c r="F80" s="34">
        <v>4</v>
      </c>
      <c r="G80" s="35" t="s">
        <v>535</v>
      </c>
      <c r="H80" s="36">
        <f t="shared" ref="H80:H91" si="10">ROUND(G80*(1+$L$5),2)</f>
        <v>1546.24</v>
      </c>
      <c r="I80" s="34">
        <f t="shared" ref="I80:I91" si="11">TRUNC(F80*H80,2)</f>
        <v>6184.96</v>
      </c>
      <c r="J80" s="31"/>
      <c r="L80" s="31"/>
      <c r="AE80" s="31" t="s">
        <v>147</v>
      </c>
    </row>
    <row r="81" spans="1:31" s="10" customFormat="1" ht="67.5" x14ac:dyDescent="0.2">
      <c r="A81" s="303" t="s">
        <v>279</v>
      </c>
      <c r="B81" s="304" t="s">
        <v>59</v>
      </c>
      <c r="C81" s="329" t="s">
        <v>527</v>
      </c>
      <c r="D81" s="326" t="s">
        <v>528</v>
      </c>
      <c r="E81" s="44" t="s">
        <v>115</v>
      </c>
      <c r="F81" s="34">
        <v>6</v>
      </c>
      <c r="G81" s="35" t="s">
        <v>529</v>
      </c>
      <c r="H81" s="36">
        <f t="shared" si="10"/>
        <v>703.07</v>
      </c>
      <c r="I81" s="34">
        <f t="shared" si="11"/>
        <v>4218.42</v>
      </c>
      <c r="J81" s="31"/>
      <c r="L81" s="31"/>
      <c r="AE81" s="31" t="s">
        <v>148</v>
      </c>
    </row>
    <row r="82" spans="1:31" s="10" customFormat="1" ht="45" x14ac:dyDescent="0.2">
      <c r="A82" s="303" t="s">
        <v>38</v>
      </c>
      <c r="B82" s="304" t="s">
        <v>59</v>
      </c>
      <c r="C82" s="329" t="s">
        <v>530</v>
      </c>
      <c r="D82" s="326" t="s">
        <v>531</v>
      </c>
      <c r="E82" s="44" t="s">
        <v>115</v>
      </c>
      <c r="F82" s="34">
        <v>2</v>
      </c>
      <c r="G82" s="35" t="s">
        <v>532</v>
      </c>
      <c r="H82" s="36">
        <f t="shared" si="10"/>
        <v>166.82</v>
      </c>
      <c r="I82" s="34">
        <f t="shared" si="11"/>
        <v>333.64</v>
      </c>
      <c r="J82" s="31"/>
      <c r="L82" s="31"/>
      <c r="AE82" s="31" t="s">
        <v>149</v>
      </c>
    </row>
    <row r="83" spans="1:31" s="10" customFormat="1" ht="33.75" x14ac:dyDescent="0.2">
      <c r="A83" s="303" t="s">
        <v>165</v>
      </c>
      <c r="B83" s="304" t="s">
        <v>59</v>
      </c>
      <c r="C83" s="304" t="s">
        <v>121</v>
      </c>
      <c r="D83" s="326" t="s">
        <v>166</v>
      </c>
      <c r="E83" s="44" t="s">
        <v>115</v>
      </c>
      <c r="F83" s="34">
        <v>14</v>
      </c>
      <c r="G83" s="35" t="s">
        <v>537</v>
      </c>
      <c r="H83" s="36">
        <f t="shared" si="10"/>
        <v>586.55999999999995</v>
      </c>
      <c r="I83" s="34">
        <f t="shared" si="11"/>
        <v>8211.84</v>
      </c>
      <c r="J83" s="31"/>
      <c r="L83" s="31"/>
      <c r="AE83" s="31" t="s">
        <v>150</v>
      </c>
    </row>
    <row r="84" spans="1:31" s="10" customFormat="1" ht="67.5" x14ac:dyDescent="0.2">
      <c r="A84" s="303" t="s">
        <v>281</v>
      </c>
      <c r="B84" s="304" t="s">
        <v>59</v>
      </c>
      <c r="C84" s="304" t="s">
        <v>538</v>
      </c>
      <c r="D84" s="326" t="s">
        <v>539</v>
      </c>
      <c r="E84" s="44" t="s">
        <v>115</v>
      </c>
      <c r="F84" s="34">
        <v>4</v>
      </c>
      <c r="G84" s="35" t="s">
        <v>540</v>
      </c>
      <c r="H84" s="36">
        <f t="shared" si="10"/>
        <v>831.69</v>
      </c>
      <c r="I84" s="34">
        <f t="shared" si="11"/>
        <v>3326.76</v>
      </c>
      <c r="J84" s="31"/>
      <c r="L84" s="31"/>
      <c r="AE84" s="31" t="s">
        <v>151</v>
      </c>
    </row>
    <row r="85" spans="1:31" s="10" customFormat="1" ht="33.75" x14ac:dyDescent="0.2">
      <c r="A85" s="303" t="s">
        <v>282</v>
      </c>
      <c r="B85" s="304" t="s">
        <v>59</v>
      </c>
      <c r="C85" s="304" t="s">
        <v>541</v>
      </c>
      <c r="D85" s="326" t="s">
        <v>542</v>
      </c>
      <c r="E85" s="44" t="s">
        <v>115</v>
      </c>
      <c r="F85" s="34">
        <v>2</v>
      </c>
      <c r="G85" s="35" t="s">
        <v>543</v>
      </c>
      <c r="H85" s="36">
        <f t="shared" si="10"/>
        <v>139.97</v>
      </c>
      <c r="I85" s="34">
        <f t="shared" si="11"/>
        <v>279.94</v>
      </c>
      <c r="J85" s="31"/>
      <c r="L85" s="31"/>
      <c r="AE85" s="31" t="s">
        <v>152</v>
      </c>
    </row>
    <row r="86" spans="1:31" s="10" customFormat="1" ht="33.75" x14ac:dyDescent="0.2">
      <c r="A86" s="303" t="s">
        <v>167</v>
      </c>
      <c r="B86" s="304" t="s">
        <v>59</v>
      </c>
      <c r="C86" s="304" t="s">
        <v>544</v>
      </c>
      <c r="D86" s="326" t="s">
        <v>545</v>
      </c>
      <c r="E86" s="44" t="s">
        <v>109</v>
      </c>
      <c r="F86" s="34">
        <v>30</v>
      </c>
      <c r="G86" s="35">
        <v>16.02</v>
      </c>
      <c r="H86" s="36">
        <f t="shared" si="10"/>
        <v>19.3</v>
      </c>
      <c r="I86" s="34">
        <f t="shared" si="11"/>
        <v>579</v>
      </c>
      <c r="J86" s="31"/>
      <c r="L86" s="31"/>
      <c r="AE86" s="31" t="s">
        <v>152</v>
      </c>
    </row>
    <row r="87" spans="1:31" s="10" customFormat="1" ht="45" x14ac:dyDescent="0.2">
      <c r="A87" s="303" t="s">
        <v>168</v>
      </c>
      <c r="B87" s="304" t="s">
        <v>59</v>
      </c>
      <c r="C87" s="304">
        <v>89714</v>
      </c>
      <c r="D87" s="326" t="s">
        <v>755</v>
      </c>
      <c r="E87" s="44" t="s">
        <v>115</v>
      </c>
      <c r="F87" s="34">
        <v>50</v>
      </c>
      <c r="G87" s="35">
        <v>31.2</v>
      </c>
      <c r="H87" s="36">
        <f t="shared" si="10"/>
        <v>37.6</v>
      </c>
      <c r="I87" s="34">
        <f t="shared" si="11"/>
        <v>1880</v>
      </c>
      <c r="J87" s="31"/>
      <c r="L87" s="31"/>
      <c r="AE87" s="31" t="s">
        <v>152</v>
      </c>
    </row>
    <row r="88" spans="1:31" s="10" customFormat="1" ht="45" x14ac:dyDescent="0.2">
      <c r="A88" s="303" t="s">
        <v>825</v>
      </c>
      <c r="B88" s="304" t="s">
        <v>59</v>
      </c>
      <c r="C88" s="304" t="s">
        <v>546</v>
      </c>
      <c r="D88" s="326" t="s">
        <v>547</v>
      </c>
      <c r="E88" s="44" t="s">
        <v>115</v>
      </c>
      <c r="F88" s="34">
        <v>6</v>
      </c>
      <c r="G88" s="35" t="s">
        <v>548</v>
      </c>
      <c r="H88" s="36">
        <f t="shared" si="10"/>
        <v>634.77</v>
      </c>
      <c r="I88" s="34">
        <f t="shared" si="11"/>
        <v>3808.62</v>
      </c>
      <c r="J88" s="31"/>
      <c r="L88" s="31"/>
      <c r="AE88" s="31" t="s">
        <v>152</v>
      </c>
    </row>
    <row r="89" spans="1:31" s="31" customFormat="1" ht="33.75" x14ac:dyDescent="0.2">
      <c r="A89" s="303" t="s">
        <v>826</v>
      </c>
      <c r="B89" s="304" t="s">
        <v>272</v>
      </c>
      <c r="C89" s="304" t="s">
        <v>345</v>
      </c>
      <c r="D89" s="326" t="s">
        <v>346</v>
      </c>
      <c r="E89" s="44" t="s">
        <v>115</v>
      </c>
      <c r="F89" s="34">
        <v>6</v>
      </c>
      <c r="G89" s="35">
        <v>415.16</v>
      </c>
      <c r="H89" s="36">
        <f t="shared" si="10"/>
        <v>500.27</v>
      </c>
      <c r="I89" s="34">
        <f t="shared" si="11"/>
        <v>3001.62</v>
      </c>
      <c r="AE89" s="31" t="s">
        <v>154</v>
      </c>
    </row>
    <row r="90" spans="1:31" s="10" customFormat="1" ht="22.5" x14ac:dyDescent="0.2">
      <c r="A90" s="303" t="s">
        <v>827</v>
      </c>
      <c r="B90" s="304" t="s">
        <v>59</v>
      </c>
      <c r="C90" s="304" t="s">
        <v>122</v>
      </c>
      <c r="D90" s="326" t="s">
        <v>158</v>
      </c>
      <c r="E90" s="44" t="s">
        <v>48</v>
      </c>
      <c r="F90" s="34">
        <v>14</v>
      </c>
      <c r="G90" s="35" t="s">
        <v>549</v>
      </c>
      <c r="H90" s="36">
        <f t="shared" si="10"/>
        <v>104.43</v>
      </c>
      <c r="I90" s="34">
        <f t="shared" si="11"/>
        <v>1462.02</v>
      </c>
      <c r="J90" s="31"/>
      <c r="L90" s="31"/>
      <c r="AE90" s="31" t="s">
        <v>153</v>
      </c>
    </row>
    <row r="91" spans="1:31" s="10" customFormat="1" ht="33.75" x14ac:dyDescent="0.2">
      <c r="A91" s="303" t="s">
        <v>828</v>
      </c>
      <c r="B91" s="304" t="s">
        <v>59</v>
      </c>
      <c r="C91" s="304" t="s">
        <v>343</v>
      </c>
      <c r="D91" s="326" t="s">
        <v>344</v>
      </c>
      <c r="E91" s="44" t="s">
        <v>48</v>
      </c>
      <c r="F91" s="34">
        <v>2</v>
      </c>
      <c r="G91" s="35" t="s">
        <v>550</v>
      </c>
      <c r="H91" s="36">
        <f t="shared" si="10"/>
        <v>873.22</v>
      </c>
      <c r="I91" s="34">
        <f t="shared" si="11"/>
        <v>1746.44</v>
      </c>
      <c r="J91" s="31"/>
      <c r="L91" s="31"/>
      <c r="AE91" s="31" t="s">
        <v>153</v>
      </c>
    </row>
    <row r="92" spans="1:31" s="263" customFormat="1" ht="10.5" customHeight="1" x14ac:dyDescent="0.2">
      <c r="A92" s="252" t="s">
        <v>242</v>
      </c>
      <c r="B92" s="337"/>
      <c r="C92" s="253"/>
      <c r="D92" s="254" t="s">
        <v>47</v>
      </c>
      <c r="E92" s="255"/>
      <c r="F92" s="257"/>
      <c r="G92" s="258"/>
      <c r="H92" s="259"/>
      <c r="I92" s="260">
        <f>SUM(I93:I95)</f>
        <v>3292.77</v>
      </c>
      <c r="J92" s="261" t="s">
        <v>110</v>
      </c>
      <c r="K92" s="262" t="s">
        <v>160</v>
      </c>
      <c r="AE92" s="264"/>
    </row>
    <row r="93" spans="1:31" s="31" customFormat="1" ht="33.75" x14ac:dyDescent="0.2">
      <c r="A93" s="303" t="s">
        <v>113</v>
      </c>
      <c r="B93" s="304" t="s">
        <v>59</v>
      </c>
      <c r="C93" s="304" t="s">
        <v>551</v>
      </c>
      <c r="D93" s="326" t="s">
        <v>552</v>
      </c>
      <c r="E93" s="44" t="s">
        <v>115</v>
      </c>
      <c r="F93" s="34">
        <v>3</v>
      </c>
      <c r="G93" s="35" t="s">
        <v>553</v>
      </c>
      <c r="H93" s="36">
        <f>ROUND(G93*(1+$L$5),2)</f>
        <v>364.74</v>
      </c>
      <c r="I93" s="34">
        <f>TRUNC(F93*H93,2)</f>
        <v>1094.22</v>
      </c>
      <c r="AE93" s="31" t="s">
        <v>154</v>
      </c>
    </row>
    <row r="94" spans="1:31" s="31" customFormat="1" ht="33.75" x14ac:dyDescent="0.2">
      <c r="A94" s="303" t="s">
        <v>283</v>
      </c>
      <c r="B94" s="304" t="s">
        <v>59</v>
      </c>
      <c r="C94" s="304" t="s">
        <v>554</v>
      </c>
      <c r="D94" s="326" t="s">
        <v>555</v>
      </c>
      <c r="E94" s="44" t="s">
        <v>115</v>
      </c>
      <c r="F94" s="34">
        <v>4</v>
      </c>
      <c r="G94" s="35" t="s">
        <v>556</v>
      </c>
      <c r="H94" s="36">
        <f>ROUND(G94*(1+$L$5),2)</f>
        <v>322.57</v>
      </c>
      <c r="I94" s="34">
        <f>TRUNC(F94*H94,2)</f>
        <v>1290.28</v>
      </c>
      <c r="AE94" s="31" t="s">
        <v>154</v>
      </c>
    </row>
    <row r="95" spans="1:31" s="31" customFormat="1" ht="22.5" x14ac:dyDescent="0.2">
      <c r="A95" s="303" t="s">
        <v>831</v>
      </c>
      <c r="B95" s="304" t="s">
        <v>59</v>
      </c>
      <c r="C95" s="304">
        <v>10848</v>
      </c>
      <c r="D95" s="326" t="s">
        <v>829</v>
      </c>
      <c r="E95" s="44" t="s">
        <v>115</v>
      </c>
      <c r="F95" s="34">
        <v>1</v>
      </c>
      <c r="G95" s="35" t="s">
        <v>830</v>
      </c>
      <c r="H95" s="36">
        <f>ROUND(G95*(1+$L$5),2)</f>
        <v>908.27</v>
      </c>
      <c r="I95" s="34">
        <f>TRUNC(F95*H95,2)</f>
        <v>908.27</v>
      </c>
      <c r="AE95" s="31" t="s">
        <v>154</v>
      </c>
    </row>
    <row r="96" spans="1:31" s="10" customFormat="1" x14ac:dyDescent="0.2">
      <c r="A96" s="252" t="s">
        <v>734</v>
      </c>
      <c r="B96" s="337"/>
      <c r="C96" s="253"/>
      <c r="D96" s="254" t="s">
        <v>735</v>
      </c>
      <c r="E96" s="255"/>
      <c r="F96" s="257"/>
      <c r="G96" s="258"/>
      <c r="H96" s="259"/>
      <c r="I96" s="260">
        <f>SUM(I97:I107)</f>
        <v>28822.3</v>
      </c>
    </row>
    <row r="97" spans="1:31" s="10" customFormat="1" ht="22.5" x14ac:dyDescent="0.2">
      <c r="A97" s="303" t="s">
        <v>736</v>
      </c>
      <c r="B97" s="304" t="s">
        <v>59</v>
      </c>
      <c r="C97" s="304">
        <v>93358</v>
      </c>
      <c r="D97" s="326" t="s">
        <v>747</v>
      </c>
      <c r="E97" s="44" t="s">
        <v>661</v>
      </c>
      <c r="F97" s="34">
        <v>23.119999999999997</v>
      </c>
      <c r="G97" s="35">
        <v>80.22</v>
      </c>
      <c r="H97" s="36">
        <f t="shared" ref="H97:H107" si="12">ROUND(G97*(1+$L$5),2)</f>
        <v>96.67</v>
      </c>
      <c r="I97" s="34">
        <f t="shared" ref="I97:I107" si="13">TRUNC(F97*H97,2)</f>
        <v>2235.0100000000002</v>
      </c>
    </row>
    <row r="98" spans="1:31" s="10" customFormat="1" ht="33.75" x14ac:dyDescent="0.2">
      <c r="A98" s="303" t="s">
        <v>737</v>
      </c>
      <c r="B98" s="304" t="s">
        <v>59</v>
      </c>
      <c r="C98" s="304">
        <v>96619</v>
      </c>
      <c r="D98" s="326" t="s">
        <v>748</v>
      </c>
      <c r="E98" s="44" t="s">
        <v>763</v>
      </c>
      <c r="F98" s="34">
        <v>19.88</v>
      </c>
      <c r="G98" s="35">
        <v>39.04</v>
      </c>
      <c r="H98" s="36">
        <f t="shared" si="12"/>
        <v>47.04</v>
      </c>
      <c r="I98" s="34">
        <f t="shared" si="13"/>
        <v>935.15</v>
      </c>
    </row>
    <row r="99" spans="1:31" s="10" customFormat="1" ht="33.75" x14ac:dyDescent="0.2">
      <c r="A99" s="303" t="s">
        <v>738</v>
      </c>
      <c r="B99" s="304" t="s">
        <v>246</v>
      </c>
      <c r="C99" s="325" t="s">
        <v>654</v>
      </c>
      <c r="D99" s="326" t="s">
        <v>749</v>
      </c>
      <c r="E99" s="44" t="s">
        <v>112</v>
      </c>
      <c r="F99" s="34">
        <v>9.36</v>
      </c>
      <c r="G99" s="35">
        <f>COMPOSIÇÕES!H169</f>
        <v>48.3</v>
      </c>
      <c r="H99" s="36">
        <f t="shared" si="12"/>
        <v>58.2</v>
      </c>
      <c r="I99" s="34">
        <f t="shared" si="13"/>
        <v>544.75</v>
      </c>
    </row>
    <row r="100" spans="1:31" s="10" customFormat="1" ht="56.25" x14ac:dyDescent="0.2">
      <c r="A100" s="303" t="s">
        <v>739</v>
      </c>
      <c r="B100" s="304" t="s">
        <v>59</v>
      </c>
      <c r="C100" s="304">
        <v>87630</v>
      </c>
      <c r="D100" s="326" t="s">
        <v>509</v>
      </c>
      <c r="E100" s="44" t="s">
        <v>112</v>
      </c>
      <c r="F100" s="34">
        <v>4.68</v>
      </c>
      <c r="G100" s="35" t="s">
        <v>510</v>
      </c>
      <c r="H100" s="36">
        <f t="shared" si="12"/>
        <v>48.07</v>
      </c>
      <c r="I100" s="34">
        <f t="shared" si="13"/>
        <v>224.96</v>
      </c>
    </row>
    <row r="101" spans="1:31" s="10" customFormat="1" ht="45" x14ac:dyDescent="0.2">
      <c r="A101" s="303" t="s">
        <v>740</v>
      </c>
      <c r="B101" s="304" t="s">
        <v>246</v>
      </c>
      <c r="C101" s="325" t="s">
        <v>798</v>
      </c>
      <c r="D101" s="326" t="s">
        <v>750</v>
      </c>
      <c r="E101" s="44" t="s">
        <v>112</v>
      </c>
      <c r="F101" s="34">
        <v>31.200000000000003</v>
      </c>
      <c r="G101" s="35">
        <f>COMPOSIÇÕES!H28</f>
        <v>86.21</v>
      </c>
      <c r="H101" s="36">
        <f t="shared" si="12"/>
        <v>103.88</v>
      </c>
      <c r="I101" s="34">
        <f t="shared" si="13"/>
        <v>3241.05</v>
      </c>
    </row>
    <row r="102" spans="1:31" s="10" customFormat="1" ht="45" x14ac:dyDescent="0.2">
      <c r="A102" s="303" t="s">
        <v>741</v>
      </c>
      <c r="B102" s="304" t="s">
        <v>59</v>
      </c>
      <c r="C102" s="304" t="s">
        <v>752</v>
      </c>
      <c r="D102" s="326" t="s">
        <v>751</v>
      </c>
      <c r="E102" s="44" t="s">
        <v>112</v>
      </c>
      <c r="F102" s="34">
        <v>20.8</v>
      </c>
      <c r="G102" s="35">
        <v>7.91</v>
      </c>
      <c r="H102" s="36">
        <f t="shared" si="12"/>
        <v>9.5299999999999994</v>
      </c>
      <c r="I102" s="34">
        <f t="shared" si="13"/>
        <v>198.22</v>
      </c>
    </row>
    <row r="103" spans="1:31" s="10" customFormat="1" ht="33.75" x14ac:dyDescent="0.2">
      <c r="A103" s="303" t="s">
        <v>742</v>
      </c>
      <c r="B103" s="304" t="s">
        <v>246</v>
      </c>
      <c r="C103" s="304">
        <v>10</v>
      </c>
      <c r="D103" s="326" t="s">
        <v>753</v>
      </c>
      <c r="E103" s="44" t="s">
        <v>112</v>
      </c>
      <c r="F103" s="34">
        <v>20.8</v>
      </c>
      <c r="G103" s="35">
        <f>COMPOSIÇÕES!H184</f>
        <v>44.85</v>
      </c>
      <c r="H103" s="36">
        <f t="shared" si="12"/>
        <v>54.04</v>
      </c>
      <c r="I103" s="34">
        <f t="shared" si="13"/>
        <v>1124.03</v>
      </c>
    </row>
    <row r="104" spans="1:31" s="10" customFormat="1" ht="45" x14ac:dyDescent="0.2">
      <c r="A104" s="303" t="s">
        <v>743</v>
      </c>
      <c r="B104" s="304" t="s">
        <v>59</v>
      </c>
      <c r="C104" s="304">
        <v>101964</v>
      </c>
      <c r="D104" s="326" t="s">
        <v>754</v>
      </c>
      <c r="E104" s="44" t="s">
        <v>112</v>
      </c>
      <c r="F104" s="34">
        <v>15.08</v>
      </c>
      <c r="G104" s="35">
        <v>187.74</v>
      </c>
      <c r="H104" s="36">
        <f t="shared" si="12"/>
        <v>226.23</v>
      </c>
      <c r="I104" s="34">
        <f t="shared" si="13"/>
        <v>3411.54</v>
      </c>
    </row>
    <row r="105" spans="1:31" s="10" customFormat="1" ht="33.75" x14ac:dyDescent="0.2">
      <c r="A105" s="303" t="s">
        <v>744</v>
      </c>
      <c r="B105" s="304" t="s">
        <v>59</v>
      </c>
      <c r="C105" s="304">
        <v>89849</v>
      </c>
      <c r="D105" s="326" t="s">
        <v>767</v>
      </c>
      <c r="E105" s="44" t="s">
        <v>109</v>
      </c>
      <c r="F105" s="34">
        <v>12</v>
      </c>
      <c r="G105" s="35">
        <v>42.94</v>
      </c>
      <c r="H105" s="36">
        <f t="shared" si="12"/>
        <v>51.74</v>
      </c>
      <c r="I105" s="34">
        <f t="shared" si="13"/>
        <v>620.88</v>
      </c>
    </row>
    <row r="106" spans="1:31" s="10" customFormat="1" ht="45" x14ac:dyDescent="0.2">
      <c r="A106" s="303" t="s">
        <v>745</v>
      </c>
      <c r="B106" s="304" t="s">
        <v>246</v>
      </c>
      <c r="C106" s="325" t="s">
        <v>801</v>
      </c>
      <c r="D106" s="326" t="s">
        <v>756</v>
      </c>
      <c r="E106" s="44" t="s">
        <v>661</v>
      </c>
      <c r="F106" s="34">
        <v>4.5199999999999996</v>
      </c>
      <c r="G106" s="35">
        <f>COMPOSIÇÕES!H133</f>
        <v>2909.65</v>
      </c>
      <c r="H106" s="36">
        <f t="shared" si="12"/>
        <v>3506.13</v>
      </c>
      <c r="I106" s="34">
        <f t="shared" si="13"/>
        <v>15847.7</v>
      </c>
      <c r="K106" s="330">
        <f>SUM(I11:I107)/2</f>
        <v>1368554.899999999</v>
      </c>
    </row>
    <row r="107" spans="1:31" s="10" customFormat="1" ht="23.25" thickBot="1" x14ac:dyDescent="0.25">
      <c r="A107" s="303" t="s">
        <v>746</v>
      </c>
      <c r="B107" s="304" t="s">
        <v>59</v>
      </c>
      <c r="C107" s="304">
        <v>4722</v>
      </c>
      <c r="D107" s="326" t="s">
        <v>770</v>
      </c>
      <c r="E107" s="44" t="s">
        <v>661</v>
      </c>
      <c r="F107" s="34">
        <v>3.56</v>
      </c>
      <c r="G107" s="35">
        <v>102.34</v>
      </c>
      <c r="H107" s="36">
        <f t="shared" si="12"/>
        <v>123.32</v>
      </c>
      <c r="I107" s="34">
        <f t="shared" si="13"/>
        <v>439.01</v>
      </c>
    </row>
    <row r="108" spans="1:31" s="312" customFormat="1" ht="16.5" customHeight="1" thickBot="1" x14ac:dyDescent="0.25">
      <c r="A108" s="369" t="s">
        <v>23</v>
      </c>
      <c r="B108" s="370"/>
      <c r="C108" s="370"/>
      <c r="D108" s="370"/>
      <c r="E108" s="370"/>
      <c r="F108" s="371"/>
      <c r="G108" s="309"/>
      <c r="H108" s="307"/>
      <c r="I108" s="308">
        <f>I12+I17+I19+I23+I31+I42+I48+I52+I59+I66+I70+I79+I92+I96</f>
        <v>1368554.9000000004</v>
      </c>
      <c r="J108" s="310" t="s">
        <v>110</v>
      </c>
      <c r="K108" s="311">
        <f>I108/$I$108</f>
        <v>1</v>
      </c>
      <c r="AE108" s="305"/>
    </row>
    <row r="109" spans="1:31" x14ac:dyDescent="0.2">
      <c r="G109" s="38"/>
      <c r="I109" s="306">
        <v>676.73</v>
      </c>
      <c r="AE109" s="39" t="str">
        <f>UPPER(D109)</f>
        <v/>
      </c>
    </row>
    <row r="110" spans="1:31" ht="12" x14ac:dyDescent="0.2">
      <c r="I110" s="368">
        <v>1368554.9</v>
      </c>
    </row>
    <row r="111" spans="1:31" ht="15" x14ac:dyDescent="0.2">
      <c r="I111" s="41">
        <f>SUM(I9:I107)/2</f>
        <v>1368554.899999999</v>
      </c>
    </row>
    <row r="113" spans="8:9" x14ac:dyDescent="0.2">
      <c r="H113" s="37" t="s">
        <v>357</v>
      </c>
      <c r="I113" s="40">
        <f>I108/I109</f>
        <v>2022.3056462695615</v>
      </c>
    </row>
  </sheetData>
  <autoFilter ref="A9:I109" xr:uid="{00000000-0009-0000-0000-000000000000}"/>
  <mergeCells count="5">
    <mergeCell ref="A5:I5"/>
    <mergeCell ref="A108:F108"/>
    <mergeCell ref="A1:I1"/>
    <mergeCell ref="G7:I7"/>
    <mergeCell ref="A10:I10"/>
  </mergeCells>
  <printOptions horizontalCentered="1"/>
  <pageMargins left="0.59055118110236227" right="0.39370078740157483" top="1.1811023622047245" bottom="0.78740157480314965" header="0.39370078740157483" footer="0.39370078740157483"/>
  <pageSetup paperSize="9" scale="82" fitToHeight="0" orientation="portrait" r:id="rId1"/>
  <headerFooter>
    <oddHeader>&amp;L&amp;G&amp;R&amp;G</oddHeader>
    <oddFooter>&amp;R&amp;"Arial,Normal"&amp;8Pág. &amp;P de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26CA5-E097-4F4D-83D3-429E36881A7F}">
  <sheetPr>
    <tabColor rgb="FF00B050"/>
    <pageSetUpPr fitToPage="1"/>
  </sheetPr>
  <dimension ref="A1:XEV848"/>
  <sheetViews>
    <sheetView view="pageBreakPreview" topLeftCell="A12" zoomScaleSheetLayoutView="100" workbookViewId="0">
      <pane ySplit="765" activePane="bottomLeft"/>
      <selection activeCell="J12" sqref="J1:J1048576"/>
      <selection pane="bottomLeft" activeCell="C8" sqref="C8"/>
    </sheetView>
  </sheetViews>
  <sheetFormatPr defaultRowHeight="11.25" x14ac:dyDescent="0.2"/>
  <cols>
    <col min="1" max="1" width="6.140625" style="37" customWidth="1"/>
    <col min="2" max="2" width="11.42578125" style="37" hidden="1" customWidth="1"/>
    <col min="3" max="3" width="37.28515625" style="37" customWidth="1"/>
    <col min="4" max="4" width="4.5703125" style="37" bestFit="1" customWidth="1"/>
    <col min="5" max="9" width="9.85546875" style="37" customWidth="1"/>
    <col min="10" max="10" width="4.140625" style="37" customWidth="1"/>
    <col min="11" max="11" width="14.140625" style="37" customWidth="1"/>
    <col min="12" max="12" width="14" style="37" customWidth="1"/>
    <col min="13" max="13" width="11.42578125" style="37" customWidth="1"/>
    <col min="14" max="17" width="11.28515625" style="37" customWidth="1"/>
    <col min="18" max="30" width="9.140625" style="37"/>
    <col min="31" max="31" width="0" style="37" hidden="1" customWidth="1"/>
    <col min="32" max="16384" width="9.140625" style="37"/>
  </cols>
  <sheetData>
    <row r="1" spans="1:31" s="10" customFormat="1" ht="17.25" thickTop="1" thickBot="1" x14ac:dyDescent="0.3">
      <c r="A1" s="11"/>
      <c r="B1" s="11"/>
      <c r="C1" s="11"/>
      <c r="D1" s="11"/>
      <c r="E1" s="11"/>
      <c r="F1" s="11"/>
      <c r="G1" s="11"/>
      <c r="H1" s="11"/>
      <c r="I1" s="11"/>
    </row>
    <row r="2" spans="1:31" s="10" customFormat="1" ht="16.5" thickTop="1" x14ac:dyDescent="0.25">
      <c r="A2" s="376" t="s">
        <v>51</v>
      </c>
      <c r="B2" s="377"/>
      <c r="C2" s="377"/>
      <c r="D2" s="377"/>
      <c r="E2" s="377"/>
      <c r="F2" s="377"/>
      <c r="G2" s="377"/>
      <c r="H2" s="377"/>
      <c r="I2" s="378"/>
    </row>
    <row r="3" spans="1:31" s="10" customFormat="1" ht="16.5" thickBot="1" x14ac:dyDescent="0.3">
      <c r="A3" s="379" t="s">
        <v>0</v>
      </c>
      <c r="B3" s="380"/>
      <c r="C3" s="380"/>
      <c r="D3" s="380"/>
      <c r="E3" s="380"/>
      <c r="F3" s="380"/>
      <c r="G3" s="380"/>
      <c r="H3" s="380"/>
      <c r="I3" s="381"/>
    </row>
    <row r="4" spans="1:31" s="10" customFormat="1" ht="13.5" thickTop="1" x14ac:dyDescent="0.2">
      <c r="A4" s="15" t="s">
        <v>861</v>
      </c>
      <c r="B4" s="15"/>
      <c r="C4" s="42"/>
      <c r="D4" s="42"/>
      <c r="E4" s="42"/>
      <c r="F4" s="42"/>
      <c r="G4" s="42"/>
      <c r="H4" s="42"/>
      <c r="I4" s="42"/>
      <c r="K4" s="19" t="s">
        <v>101</v>
      </c>
      <c r="L4" s="19" t="s">
        <v>101</v>
      </c>
    </row>
    <row r="5" spans="1:31" s="18" customFormat="1" ht="12.75" x14ac:dyDescent="0.2">
      <c r="A5" s="15" t="s">
        <v>574</v>
      </c>
      <c r="B5" s="15"/>
      <c r="C5" s="16"/>
      <c r="D5" s="16"/>
      <c r="E5" s="16"/>
      <c r="F5" s="16"/>
      <c r="G5" s="16"/>
      <c r="H5" s="16"/>
      <c r="I5" s="16"/>
      <c r="K5" s="19" t="s">
        <v>362</v>
      </c>
      <c r="L5" s="19" t="s">
        <v>363</v>
      </c>
      <c r="M5" s="10"/>
      <c r="N5" s="10"/>
      <c r="O5" s="10"/>
      <c r="P5" s="10"/>
      <c r="Q5" s="10"/>
      <c r="R5" s="10"/>
    </row>
    <row r="6" spans="1:31" s="18" customFormat="1" ht="26.25" customHeight="1" x14ac:dyDescent="0.2">
      <c r="A6" s="388" t="s">
        <v>805</v>
      </c>
      <c r="B6" s="388"/>
      <c r="C6" s="388"/>
      <c r="D6" s="388"/>
      <c r="E6" s="388"/>
      <c r="F6" s="388"/>
      <c r="G6" s="388"/>
      <c r="H6" s="388"/>
      <c r="I6" s="388"/>
      <c r="K6" s="21">
        <v>0.26529999999999998</v>
      </c>
      <c r="L6" s="21">
        <v>0.20499999999999999</v>
      </c>
      <c r="M6" s="10"/>
      <c r="N6" s="10"/>
      <c r="O6" s="10"/>
      <c r="P6" s="10"/>
      <c r="Q6" s="10"/>
      <c r="R6" s="10"/>
    </row>
    <row r="7" spans="1:31" s="18" customFormat="1" ht="12.75" x14ac:dyDescent="0.2">
      <c r="A7" s="22" t="s">
        <v>860</v>
      </c>
      <c r="B7" s="22"/>
      <c r="C7" s="14"/>
      <c r="D7" s="14"/>
      <c r="E7" s="14"/>
      <c r="F7" s="14"/>
      <c r="G7" s="14"/>
      <c r="H7" s="14"/>
      <c r="I7" s="14"/>
      <c r="K7" s="10"/>
      <c r="L7" s="10"/>
      <c r="M7" s="10"/>
      <c r="N7" s="10"/>
      <c r="O7" s="10"/>
      <c r="P7" s="10"/>
      <c r="Q7" s="10"/>
      <c r="R7" s="10"/>
    </row>
    <row r="8" spans="1:31" s="10" customFormat="1" ht="12" thickBot="1" x14ac:dyDescent="0.25">
      <c r="A8" s="6"/>
      <c r="B8" s="6"/>
      <c r="C8" s="7"/>
      <c r="D8" s="8"/>
      <c r="E8" s="9"/>
      <c r="F8" s="9"/>
      <c r="G8" s="9"/>
      <c r="H8" s="9"/>
      <c r="I8" s="9"/>
    </row>
    <row r="9" spans="1:31" s="320" customFormat="1" ht="12" thickBot="1" x14ac:dyDescent="0.3">
      <c r="A9" s="313" t="s">
        <v>1</v>
      </c>
      <c r="B9" s="314" t="s">
        <v>60</v>
      </c>
      <c r="C9" s="314" t="s">
        <v>2</v>
      </c>
      <c r="D9" s="314" t="s">
        <v>3</v>
      </c>
      <c r="E9" s="315" t="s">
        <v>4</v>
      </c>
      <c r="F9" s="315" t="s">
        <v>5</v>
      </c>
      <c r="G9" s="315" t="s">
        <v>6</v>
      </c>
      <c r="H9" s="315" t="s">
        <v>123</v>
      </c>
      <c r="I9" s="315" t="s">
        <v>7</v>
      </c>
      <c r="K9" s="321"/>
      <c r="AE9" s="23"/>
    </row>
    <row r="10" spans="1:31" s="30" customFormat="1" x14ac:dyDescent="0.2">
      <c r="A10" s="24"/>
      <c r="B10" s="250"/>
      <c r="C10" s="25"/>
      <c r="D10" s="26"/>
      <c r="E10" s="251"/>
      <c r="F10" s="251"/>
      <c r="G10" s="251"/>
      <c r="H10" s="251"/>
      <c r="I10" s="251"/>
    </row>
    <row r="11" spans="1:31" s="30" customFormat="1" ht="15" customHeight="1" x14ac:dyDescent="0.2">
      <c r="A11" s="385" t="s">
        <v>862</v>
      </c>
      <c r="B11" s="386"/>
      <c r="C11" s="386"/>
      <c r="D11" s="386"/>
      <c r="E11" s="386"/>
      <c r="F11" s="386"/>
      <c r="G11" s="386"/>
      <c r="H11" s="386"/>
      <c r="I11" s="386"/>
    </row>
    <row r="12" spans="1:31" s="30" customFormat="1" x14ac:dyDescent="0.2">
      <c r="A12" s="24"/>
      <c r="B12" s="250"/>
      <c r="C12" s="25"/>
      <c r="D12" s="26"/>
      <c r="E12" s="251"/>
      <c r="F12" s="251"/>
      <c r="G12" s="251"/>
      <c r="H12" s="251"/>
      <c r="I12" s="251"/>
    </row>
    <row r="13" spans="1:31" s="263" customFormat="1" ht="10.5" customHeight="1" x14ac:dyDescent="0.2">
      <c r="A13" s="252" t="s">
        <v>230</v>
      </c>
      <c r="B13" s="253"/>
      <c r="C13" s="254" t="s">
        <v>8</v>
      </c>
      <c r="D13" s="255"/>
      <c r="E13" s="256"/>
      <c r="F13" s="256"/>
      <c r="G13" s="256"/>
      <c r="H13" s="256"/>
      <c r="I13" s="256"/>
      <c r="J13" s="261" t="s">
        <v>110</v>
      </c>
      <c r="K13" s="262" t="s">
        <v>160</v>
      </c>
      <c r="AE13" s="264"/>
    </row>
    <row r="14" spans="1:31" s="10" customFormat="1" x14ac:dyDescent="0.2">
      <c r="A14" s="32"/>
      <c r="B14" s="265"/>
      <c r="C14" s="266"/>
      <c r="D14" s="33"/>
      <c r="E14" s="267"/>
      <c r="F14" s="267"/>
      <c r="G14" s="267"/>
      <c r="H14" s="267"/>
      <c r="I14" s="267"/>
    </row>
    <row r="15" spans="1:31" s="31" customFormat="1" ht="39.75" customHeight="1" x14ac:dyDescent="0.2">
      <c r="A15" s="268" t="s">
        <v>231</v>
      </c>
      <c r="B15" s="269" t="s">
        <v>59</v>
      </c>
      <c r="C15" s="270" t="s">
        <v>312</v>
      </c>
      <c r="D15" s="271" t="s">
        <v>112</v>
      </c>
      <c r="E15" s="19"/>
      <c r="F15" s="19"/>
      <c r="G15" s="19"/>
      <c r="H15" s="19"/>
      <c r="I15" s="19"/>
      <c r="AE15" s="31" t="s">
        <v>124</v>
      </c>
    </row>
    <row r="16" spans="1:31" s="10" customFormat="1" x14ac:dyDescent="0.2">
      <c r="A16" s="32"/>
      <c r="B16" s="265"/>
      <c r="C16" s="273" t="s">
        <v>313</v>
      </c>
      <c r="D16" s="44"/>
      <c r="E16" s="36"/>
      <c r="F16" s="36">
        <v>4</v>
      </c>
      <c r="G16" s="36"/>
      <c r="H16" s="36">
        <v>2</v>
      </c>
      <c r="I16" s="36">
        <f>ROUND(PRODUCT(E16:H16),2)</f>
        <v>8</v>
      </c>
    </row>
    <row r="17" spans="1:31" s="10" customFormat="1" x14ac:dyDescent="0.2">
      <c r="A17" s="32"/>
      <c r="B17" s="265"/>
      <c r="C17" s="45" t="str">
        <f>"Total item "&amp;A15</f>
        <v>Total item 1.1</v>
      </c>
      <c r="D17" s="44"/>
      <c r="E17" s="36"/>
      <c r="F17" s="36"/>
      <c r="G17" s="36"/>
      <c r="H17" s="36"/>
      <c r="I17" s="19">
        <f>SUM(I16:I16)</f>
        <v>8</v>
      </c>
    </row>
    <row r="18" spans="1:31" s="10" customFormat="1" x14ac:dyDescent="0.2">
      <c r="A18" s="32"/>
      <c r="B18" s="265"/>
      <c r="C18" s="266"/>
      <c r="D18" s="33"/>
      <c r="E18" s="267"/>
      <c r="F18" s="267"/>
      <c r="G18" s="267"/>
      <c r="H18" s="267"/>
      <c r="I18" s="267"/>
    </row>
    <row r="19" spans="1:31" s="31" customFormat="1" ht="23.25" customHeight="1" x14ac:dyDescent="0.2">
      <c r="A19" s="268" t="s">
        <v>353</v>
      </c>
      <c r="B19" s="269" t="s">
        <v>59</v>
      </c>
      <c r="C19" s="270" t="s">
        <v>321</v>
      </c>
      <c r="D19" s="271" t="s">
        <v>109</v>
      </c>
      <c r="E19" s="19"/>
      <c r="F19" s="19"/>
      <c r="G19" s="19"/>
      <c r="H19" s="19"/>
      <c r="I19" s="19"/>
      <c r="AE19" s="31" t="s">
        <v>124</v>
      </c>
    </row>
    <row r="20" spans="1:31" s="10" customFormat="1" x14ac:dyDescent="0.2">
      <c r="A20" s="32"/>
      <c r="B20" s="265"/>
      <c r="C20" s="273"/>
      <c r="D20" s="44"/>
      <c r="E20" s="36">
        <v>2</v>
      </c>
      <c r="F20" s="36">
        <v>48</v>
      </c>
      <c r="G20" s="36"/>
      <c r="H20" s="36"/>
      <c r="I20" s="36">
        <f>ROUND(PRODUCT(E20:H20),2)</f>
        <v>96</v>
      </c>
    </row>
    <row r="21" spans="1:31" s="10" customFormat="1" x14ac:dyDescent="0.2">
      <c r="A21" s="32"/>
      <c r="B21" s="265"/>
      <c r="C21" s="273"/>
      <c r="D21" s="44"/>
      <c r="E21" s="36">
        <v>2</v>
      </c>
      <c r="F21" s="36">
        <v>25</v>
      </c>
      <c r="G21" s="36"/>
      <c r="H21" s="36"/>
      <c r="I21" s="36">
        <f>ROUND(PRODUCT(E21:H21),2)</f>
        <v>50</v>
      </c>
    </row>
    <row r="22" spans="1:31" s="10" customFormat="1" x14ac:dyDescent="0.2">
      <c r="A22" s="32"/>
      <c r="B22" s="265"/>
      <c r="C22" s="45" t="str">
        <f>"Total item "&amp;A19</f>
        <v>Total item 1.2</v>
      </c>
      <c r="D22" s="44"/>
      <c r="E22" s="36"/>
      <c r="F22" s="36"/>
      <c r="G22" s="36"/>
      <c r="H22" s="36"/>
      <c r="I22" s="19">
        <f>SUM(I20:I21)</f>
        <v>146</v>
      </c>
    </row>
    <row r="23" spans="1:31" s="10" customFormat="1" x14ac:dyDescent="0.2">
      <c r="A23" s="32"/>
      <c r="B23" s="265"/>
      <c r="C23" s="266"/>
      <c r="D23" s="33"/>
      <c r="E23" s="267"/>
      <c r="F23" s="267"/>
      <c r="G23" s="267"/>
      <c r="H23" s="267"/>
      <c r="I23" s="267"/>
    </row>
    <row r="24" spans="1:31" s="31" customFormat="1" x14ac:dyDescent="0.2">
      <c r="A24" s="268" t="s">
        <v>354</v>
      </c>
      <c r="B24" s="269" t="s">
        <v>59</v>
      </c>
      <c r="C24" s="270" t="s">
        <v>484</v>
      </c>
      <c r="D24" s="271" t="s">
        <v>112</v>
      </c>
      <c r="E24" s="19"/>
      <c r="F24" s="19"/>
      <c r="G24" s="19"/>
      <c r="H24" s="19"/>
      <c r="I24" s="19"/>
      <c r="AE24" s="31" t="s">
        <v>124</v>
      </c>
    </row>
    <row r="25" spans="1:31" s="10" customFormat="1" x14ac:dyDescent="0.2">
      <c r="A25" s="32"/>
      <c r="B25" s="265"/>
      <c r="C25" s="273"/>
      <c r="D25" s="44"/>
      <c r="E25" s="36"/>
      <c r="F25" s="36">
        <v>50</v>
      </c>
      <c r="G25" s="36"/>
      <c r="H25" s="36">
        <v>2</v>
      </c>
      <c r="I25" s="36">
        <f>ROUND(PRODUCT(E25:H25),2)</f>
        <v>100</v>
      </c>
    </row>
    <row r="26" spans="1:31" s="10" customFormat="1" x14ac:dyDescent="0.2">
      <c r="A26" s="32"/>
      <c r="B26" s="265"/>
      <c r="C26" s="273"/>
      <c r="D26" s="44"/>
      <c r="E26" s="36">
        <v>2</v>
      </c>
      <c r="F26" s="36">
        <v>30</v>
      </c>
      <c r="G26" s="36"/>
      <c r="H26" s="36">
        <v>2</v>
      </c>
      <c r="I26" s="36">
        <f>ROUND(PRODUCT(E26:H26),2)</f>
        <v>120</v>
      </c>
    </row>
    <row r="27" spans="1:31" s="10" customFormat="1" x14ac:dyDescent="0.2">
      <c r="A27" s="32"/>
      <c r="B27" s="265"/>
      <c r="C27" s="273" t="s">
        <v>473</v>
      </c>
      <c r="D27" s="44"/>
      <c r="E27" s="36">
        <v>2</v>
      </c>
      <c r="F27" s="36">
        <v>6</v>
      </c>
      <c r="G27" s="36"/>
      <c r="H27" s="36">
        <v>2.5</v>
      </c>
      <c r="I27" s="36">
        <f>ROUND(PRODUCT(E27:H27),2)</f>
        <v>30</v>
      </c>
    </row>
    <row r="28" spans="1:31" s="10" customFormat="1" x14ac:dyDescent="0.2">
      <c r="A28" s="32"/>
      <c r="B28" s="265"/>
      <c r="C28" s="273"/>
      <c r="D28" s="44"/>
      <c r="E28" s="36">
        <v>2</v>
      </c>
      <c r="F28" s="36">
        <v>3</v>
      </c>
      <c r="G28" s="36"/>
      <c r="H28" s="36">
        <v>2.5</v>
      </c>
      <c r="I28" s="36">
        <f>ROUND(PRODUCT(E28:H28),2)</f>
        <v>15</v>
      </c>
    </row>
    <row r="29" spans="1:31" s="10" customFormat="1" x14ac:dyDescent="0.2">
      <c r="A29" s="32"/>
      <c r="B29" s="265"/>
      <c r="C29" s="273"/>
      <c r="D29" s="44"/>
      <c r="E29" s="36"/>
      <c r="F29" s="36">
        <v>6</v>
      </c>
      <c r="G29" s="36">
        <v>3.5</v>
      </c>
      <c r="H29" s="36"/>
      <c r="I29" s="36">
        <f>ROUND(PRODUCT(E29:H29),2)</f>
        <v>21</v>
      </c>
    </row>
    <row r="30" spans="1:31" s="10" customFormat="1" x14ac:dyDescent="0.2">
      <c r="A30" s="32"/>
      <c r="B30" s="265"/>
      <c r="C30" s="45" t="str">
        <f>"Total item "&amp;A24</f>
        <v>Total item 1.3</v>
      </c>
      <c r="D30" s="44"/>
      <c r="E30" s="36"/>
      <c r="F30" s="36"/>
      <c r="G30" s="36"/>
      <c r="H30" s="36"/>
      <c r="I30" s="19">
        <f>SUM(I25:I29)</f>
        <v>286</v>
      </c>
    </row>
    <row r="31" spans="1:31" s="10" customFormat="1" x14ac:dyDescent="0.2">
      <c r="A31" s="32"/>
      <c r="B31" s="265"/>
      <c r="C31" s="266"/>
      <c r="D31" s="33"/>
      <c r="E31" s="267"/>
      <c r="F31" s="267"/>
      <c r="G31" s="267"/>
      <c r="H31" s="267"/>
      <c r="I31" s="267"/>
    </row>
    <row r="32" spans="1:31" s="31" customFormat="1" ht="33.75" x14ac:dyDescent="0.2">
      <c r="A32" s="268" t="s">
        <v>806</v>
      </c>
      <c r="B32" s="269" t="s">
        <v>59</v>
      </c>
      <c r="C32" s="270" t="s">
        <v>787</v>
      </c>
      <c r="D32" s="271" t="s">
        <v>118</v>
      </c>
      <c r="E32" s="19"/>
      <c r="F32" s="19"/>
      <c r="G32" s="19"/>
      <c r="H32" s="19"/>
      <c r="I32" s="19"/>
      <c r="AE32" s="31" t="s">
        <v>124</v>
      </c>
    </row>
    <row r="33" spans="1:31" s="10" customFormat="1" x14ac:dyDescent="0.2">
      <c r="A33" s="32"/>
      <c r="B33" s="265"/>
      <c r="C33" s="273" t="s">
        <v>785</v>
      </c>
      <c r="D33" s="44"/>
      <c r="E33" s="36"/>
      <c r="F33" s="36"/>
      <c r="G33" s="36"/>
      <c r="H33" s="36"/>
      <c r="I33" s="36"/>
    </row>
    <row r="34" spans="1:31" s="10" customFormat="1" x14ac:dyDescent="0.2">
      <c r="A34" s="32"/>
      <c r="B34" s="265"/>
      <c r="C34" s="273"/>
      <c r="D34" s="44"/>
      <c r="E34" s="36"/>
      <c r="F34" s="36">
        <v>17.149999999999999</v>
      </c>
      <c r="G34" s="36">
        <v>0.15</v>
      </c>
      <c r="H34" s="36">
        <v>2.6</v>
      </c>
      <c r="I34" s="36">
        <f>ROUND(PRODUCT(E34:H34),2)</f>
        <v>6.69</v>
      </c>
    </row>
    <row r="35" spans="1:31" s="10" customFormat="1" x14ac:dyDescent="0.2">
      <c r="A35" s="32"/>
      <c r="B35" s="265"/>
      <c r="C35" s="273"/>
      <c r="D35" s="44"/>
      <c r="E35" s="36"/>
      <c r="F35" s="36">
        <v>27.4</v>
      </c>
      <c r="G35" s="36">
        <v>0.15</v>
      </c>
      <c r="H35" s="36">
        <v>2.6</v>
      </c>
      <c r="I35" s="36">
        <f>ROUND(PRODUCT(E35:H35),2)</f>
        <v>10.69</v>
      </c>
    </row>
    <row r="36" spans="1:31" s="10" customFormat="1" x14ac:dyDescent="0.2">
      <c r="A36" s="32"/>
      <c r="B36" s="265"/>
      <c r="C36" s="273"/>
      <c r="D36" s="44"/>
      <c r="E36" s="36"/>
      <c r="F36" s="36">
        <v>1.95</v>
      </c>
      <c r="G36" s="36">
        <v>0.15</v>
      </c>
      <c r="H36" s="36">
        <v>2.6</v>
      </c>
      <c r="I36" s="36">
        <f>ROUND(PRODUCT(E36:H36),2)</f>
        <v>0.76</v>
      </c>
    </row>
    <row r="37" spans="1:31" s="10" customFormat="1" x14ac:dyDescent="0.2">
      <c r="A37" s="32"/>
      <c r="B37" s="265"/>
      <c r="C37" s="273"/>
      <c r="D37" s="44"/>
      <c r="E37" s="36"/>
      <c r="F37" s="36"/>
      <c r="G37" s="36"/>
      <c r="H37" s="36"/>
      <c r="I37" s="36">
        <f>ROUND(PRODUCT(E37:H37),2)</f>
        <v>0</v>
      </c>
    </row>
    <row r="38" spans="1:31" s="10" customFormat="1" x14ac:dyDescent="0.2">
      <c r="A38" s="32"/>
      <c r="B38" s="265"/>
      <c r="C38" s="45" t="str">
        <f>"Total item "&amp;A32</f>
        <v>Total item 1.4</v>
      </c>
      <c r="D38" s="44"/>
      <c r="E38" s="36"/>
      <c r="F38" s="36"/>
      <c r="G38" s="36"/>
      <c r="H38" s="36"/>
      <c r="I38" s="19">
        <f>SUM(I33:I37)</f>
        <v>18.14</v>
      </c>
    </row>
    <row r="39" spans="1:31" s="10" customFormat="1" x14ac:dyDescent="0.2">
      <c r="A39" s="32"/>
      <c r="B39" s="265"/>
      <c r="C39" s="266"/>
      <c r="D39" s="33"/>
      <c r="E39" s="267"/>
      <c r="F39" s="267"/>
      <c r="G39" s="267"/>
      <c r="H39" s="267"/>
      <c r="I39" s="267"/>
    </row>
    <row r="40" spans="1:31" s="263" customFormat="1" ht="10.5" customHeight="1" x14ac:dyDescent="0.2">
      <c r="A40" s="252" t="s">
        <v>232</v>
      </c>
      <c r="B40" s="253"/>
      <c r="C40" s="254" t="s">
        <v>301</v>
      </c>
      <c r="D40" s="255"/>
      <c r="E40" s="256"/>
      <c r="F40" s="256"/>
      <c r="G40" s="256"/>
      <c r="H40" s="256"/>
      <c r="I40" s="256"/>
      <c r="J40" s="261" t="s">
        <v>110</v>
      </c>
      <c r="K40" s="262" t="s">
        <v>160</v>
      </c>
      <c r="AE40" s="264"/>
    </row>
    <row r="41" spans="1:31" s="10" customFormat="1" x14ac:dyDescent="0.2">
      <c r="A41" s="32"/>
      <c r="B41" s="265"/>
      <c r="C41" s="266"/>
      <c r="D41" s="33"/>
      <c r="E41" s="267"/>
      <c r="F41" s="267"/>
      <c r="G41" s="267"/>
      <c r="H41" s="267"/>
      <c r="I41" s="267"/>
      <c r="K41" s="46"/>
    </row>
    <row r="42" spans="1:31" s="30" customFormat="1" x14ac:dyDescent="0.2">
      <c r="A42" s="268" t="s">
        <v>9</v>
      </c>
      <c r="B42" s="269" t="s">
        <v>246</v>
      </c>
      <c r="C42" s="270" t="s">
        <v>314</v>
      </c>
      <c r="D42" s="271" t="s">
        <v>115</v>
      </c>
      <c r="E42" s="19"/>
      <c r="F42" s="272"/>
      <c r="G42" s="19"/>
      <c r="H42" s="19"/>
      <c r="I42" s="19"/>
      <c r="J42" s="31"/>
      <c r="L42" s="31"/>
      <c r="AE42" s="31" t="s">
        <v>111</v>
      </c>
    </row>
    <row r="43" spans="1:31" s="30" customFormat="1" x14ac:dyDescent="0.2">
      <c r="A43" s="32"/>
      <c r="B43" s="265"/>
      <c r="C43" s="273"/>
      <c r="D43" s="44"/>
      <c r="E43" s="36"/>
      <c r="F43" s="36">
        <v>1</v>
      </c>
      <c r="G43" s="36"/>
      <c r="H43" s="36"/>
      <c r="I43" s="36">
        <f>ROUND(PRODUCT(E43:H43),2)</f>
        <v>1</v>
      </c>
      <c r="J43" s="10"/>
      <c r="L43" s="10"/>
    </row>
    <row r="44" spans="1:31" s="30" customFormat="1" x14ac:dyDescent="0.2">
      <c r="A44" s="32"/>
      <c r="B44" s="265"/>
      <c r="C44" s="45" t="str">
        <f>"Total item "&amp;A42</f>
        <v>Total item 2.1</v>
      </c>
      <c r="D44" s="44"/>
      <c r="E44" s="36"/>
      <c r="F44" s="36"/>
      <c r="G44" s="36"/>
      <c r="H44" s="36"/>
      <c r="I44" s="19">
        <f>SUM(I43:I43)</f>
        <v>1</v>
      </c>
      <c r="J44" s="10"/>
      <c r="L44" s="10"/>
    </row>
    <row r="45" spans="1:31" s="10" customFormat="1" x14ac:dyDescent="0.2">
      <c r="A45" s="32"/>
      <c r="B45" s="265"/>
      <c r="C45" s="266"/>
      <c r="D45" s="33"/>
      <c r="E45" s="267"/>
      <c r="F45" s="267"/>
      <c r="G45" s="267"/>
      <c r="H45" s="267"/>
      <c r="I45" s="267"/>
    </row>
    <row r="46" spans="1:31" s="263" customFormat="1" ht="10.5" customHeight="1" x14ac:dyDescent="0.2">
      <c r="A46" s="252" t="s">
        <v>233</v>
      </c>
      <c r="B46" s="253"/>
      <c r="C46" s="254" t="s">
        <v>39</v>
      </c>
      <c r="D46" s="255"/>
      <c r="E46" s="256"/>
      <c r="F46" s="256"/>
      <c r="G46" s="256"/>
      <c r="H46" s="256"/>
      <c r="I46" s="256"/>
      <c r="J46" s="261" t="s">
        <v>110</v>
      </c>
      <c r="K46" s="262" t="s">
        <v>160</v>
      </c>
      <c r="AE46" s="264"/>
    </row>
    <row r="47" spans="1:31" s="10" customFormat="1" x14ac:dyDescent="0.2">
      <c r="A47" s="32"/>
      <c r="B47" s="265"/>
      <c r="C47" s="266"/>
      <c r="D47" s="33"/>
      <c r="E47" s="267"/>
      <c r="F47" s="267"/>
      <c r="G47" s="267"/>
      <c r="H47" s="267"/>
      <c r="I47" s="267"/>
    </row>
    <row r="48" spans="1:31" s="31" customFormat="1" ht="22.5" x14ac:dyDescent="0.2">
      <c r="A48" s="268" t="s">
        <v>10</v>
      </c>
      <c r="B48" s="269" t="s">
        <v>59</v>
      </c>
      <c r="C48" s="270" t="s">
        <v>178</v>
      </c>
      <c r="D48" s="271" t="s">
        <v>118</v>
      </c>
      <c r="E48" s="19"/>
      <c r="F48" s="19"/>
      <c r="G48" s="19"/>
      <c r="H48" s="19"/>
      <c r="I48" s="19"/>
      <c r="AE48" s="31" t="s">
        <v>125</v>
      </c>
    </row>
    <row r="49" spans="1:12" s="10" customFormat="1" ht="16.5" customHeight="1" x14ac:dyDescent="0.2">
      <c r="A49" s="32"/>
      <c r="B49" s="265"/>
      <c r="C49" s="45" t="s">
        <v>244</v>
      </c>
      <c r="D49" s="44"/>
      <c r="E49" s="36"/>
      <c r="F49" s="36"/>
      <c r="G49" s="36"/>
      <c r="H49" s="36"/>
      <c r="I49" s="36"/>
      <c r="L49" s="201"/>
    </row>
    <row r="50" spans="1:12" s="10" customFormat="1" x14ac:dyDescent="0.2">
      <c r="A50" s="32"/>
      <c r="B50" s="265"/>
      <c r="C50" s="273" t="s">
        <v>404</v>
      </c>
      <c r="D50" s="44"/>
      <c r="E50" s="36">
        <v>44</v>
      </c>
      <c r="F50" s="36">
        <v>1.2</v>
      </c>
      <c r="G50" s="36">
        <v>1.2</v>
      </c>
      <c r="H50" s="36">
        <v>1.1000000000000001</v>
      </c>
      <c r="I50" s="36">
        <f t="shared" ref="I50:I79" si="0">ROUND(PRODUCT(E50:H50),2)</f>
        <v>69.7</v>
      </c>
      <c r="L50" s="201"/>
    </row>
    <row r="51" spans="1:12" s="10" customFormat="1" x14ac:dyDescent="0.2">
      <c r="A51" s="32"/>
      <c r="B51" s="265"/>
      <c r="C51" s="273" t="s">
        <v>405</v>
      </c>
      <c r="D51" s="44"/>
      <c r="E51" s="36">
        <v>33</v>
      </c>
      <c r="F51" s="36">
        <v>1.1000000000000001</v>
      </c>
      <c r="G51" s="36">
        <v>1.1000000000000001</v>
      </c>
      <c r="H51" s="36">
        <v>1.1000000000000001</v>
      </c>
      <c r="I51" s="36">
        <f t="shared" si="0"/>
        <v>43.92</v>
      </c>
      <c r="L51" s="201"/>
    </row>
    <row r="52" spans="1:12" s="10" customFormat="1" x14ac:dyDescent="0.2">
      <c r="A52" s="32"/>
      <c r="B52" s="265"/>
      <c r="C52" s="273" t="s">
        <v>406</v>
      </c>
      <c r="D52" s="44"/>
      <c r="E52" s="36">
        <v>11</v>
      </c>
      <c r="F52" s="36">
        <v>0.9</v>
      </c>
      <c r="G52" s="36">
        <v>0.9</v>
      </c>
      <c r="H52" s="36">
        <v>1.1000000000000001</v>
      </c>
      <c r="I52" s="36">
        <f t="shared" si="0"/>
        <v>9.8000000000000007</v>
      </c>
      <c r="L52" s="201"/>
    </row>
    <row r="53" spans="1:12" s="10" customFormat="1" x14ac:dyDescent="0.2">
      <c r="A53" s="32"/>
      <c r="B53" s="265"/>
      <c r="C53" s="45" t="s">
        <v>287</v>
      </c>
      <c r="D53" s="44"/>
      <c r="E53" s="36"/>
      <c r="F53" s="36"/>
      <c r="G53" s="36"/>
      <c r="H53" s="36"/>
      <c r="I53" s="36"/>
      <c r="L53" s="201"/>
    </row>
    <row r="54" spans="1:12" s="10" customFormat="1" x14ac:dyDescent="0.2">
      <c r="A54" s="32"/>
      <c r="B54" s="265"/>
      <c r="C54" s="273" t="s">
        <v>415</v>
      </c>
      <c r="D54" s="44"/>
      <c r="E54" s="36"/>
      <c r="F54" s="36">
        <f>5.13+1.77+3.35</f>
        <v>10.25</v>
      </c>
      <c r="G54" s="36">
        <v>0.4</v>
      </c>
      <c r="H54" s="36">
        <v>0.4</v>
      </c>
      <c r="I54" s="36">
        <f>ROUND(PRODUCT(E54:H54),2)</f>
        <v>1.64</v>
      </c>
      <c r="L54" s="201"/>
    </row>
    <row r="55" spans="1:12" s="10" customFormat="1" x14ac:dyDescent="0.2">
      <c r="A55" s="32"/>
      <c r="B55" s="265"/>
      <c r="C55" s="273" t="s">
        <v>416</v>
      </c>
      <c r="D55" s="44"/>
      <c r="E55" s="36"/>
      <c r="F55" s="36">
        <f>5.13+1.77+3.35</f>
        <v>10.25</v>
      </c>
      <c r="G55" s="36">
        <v>0.4</v>
      </c>
      <c r="H55" s="36">
        <v>0.4</v>
      </c>
      <c r="I55" s="36">
        <f>ROUND(PRODUCT(E55:H55),2)</f>
        <v>1.64</v>
      </c>
      <c r="L55" s="201"/>
    </row>
    <row r="56" spans="1:12" s="10" customFormat="1" x14ac:dyDescent="0.2">
      <c r="A56" s="32"/>
      <c r="B56" s="265"/>
      <c r="C56" s="273" t="s">
        <v>417</v>
      </c>
      <c r="D56" s="44"/>
      <c r="E56" s="36"/>
      <c r="F56" s="36">
        <v>46.42</v>
      </c>
      <c r="G56" s="36">
        <v>0.4</v>
      </c>
      <c r="H56" s="36">
        <v>0.4</v>
      </c>
      <c r="I56" s="36">
        <f t="shared" si="0"/>
        <v>7.43</v>
      </c>
      <c r="L56" s="201"/>
    </row>
    <row r="57" spans="1:12" s="10" customFormat="1" x14ac:dyDescent="0.2">
      <c r="A57" s="32"/>
      <c r="B57" s="265"/>
      <c r="C57" s="273" t="s">
        <v>418</v>
      </c>
      <c r="D57" s="44"/>
      <c r="E57" s="36"/>
      <c r="F57" s="36">
        <v>46.42</v>
      </c>
      <c r="G57" s="36">
        <v>0.4</v>
      </c>
      <c r="H57" s="36">
        <v>0.4</v>
      </c>
      <c r="I57" s="36">
        <f t="shared" si="0"/>
        <v>7.43</v>
      </c>
      <c r="L57" s="201"/>
    </row>
    <row r="58" spans="1:12" s="10" customFormat="1" x14ac:dyDescent="0.2">
      <c r="A58" s="32"/>
      <c r="B58" s="265"/>
      <c r="C58" s="273" t="s">
        <v>419</v>
      </c>
      <c r="D58" s="44"/>
      <c r="E58" s="36"/>
      <c r="F58" s="36">
        <v>46.42</v>
      </c>
      <c r="G58" s="36">
        <v>0.4</v>
      </c>
      <c r="H58" s="36">
        <v>0.4</v>
      </c>
      <c r="I58" s="36">
        <f>ROUND(PRODUCT(E58:H58),2)</f>
        <v>7.43</v>
      </c>
      <c r="L58" s="201"/>
    </row>
    <row r="59" spans="1:12" s="10" customFormat="1" x14ac:dyDescent="0.2">
      <c r="A59" s="32"/>
      <c r="B59" s="265"/>
      <c r="C59" s="273" t="s">
        <v>420</v>
      </c>
      <c r="D59" s="44"/>
      <c r="E59" s="36"/>
      <c r="F59" s="36">
        <v>46.42</v>
      </c>
      <c r="G59" s="36">
        <v>0.4</v>
      </c>
      <c r="H59" s="36">
        <v>0.4</v>
      </c>
      <c r="I59" s="36">
        <f>ROUND(PRODUCT(E59:H59),2)</f>
        <v>7.43</v>
      </c>
      <c r="L59" s="201"/>
    </row>
    <row r="60" spans="1:12" s="10" customFormat="1" x14ac:dyDescent="0.2">
      <c r="A60" s="32"/>
      <c r="B60" s="265"/>
      <c r="C60" s="273" t="s">
        <v>421</v>
      </c>
      <c r="D60" s="44"/>
      <c r="E60" s="36"/>
      <c r="F60" s="36">
        <v>46.42</v>
      </c>
      <c r="G60" s="36">
        <v>0.4</v>
      </c>
      <c r="H60" s="36">
        <v>0.4</v>
      </c>
      <c r="I60" s="36">
        <f t="shared" si="0"/>
        <v>7.43</v>
      </c>
      <c r="L60" s="201"/>
    </row>
    <row r="61" spans="1:12" s="10" customFormat="1" x14ac:dyDescent="0.2">
      <c r="A61" s="32"/>
      <c r="B61" s="265"/>
      <c r="C61" s="273" t="s">
        <v>422</v>
      </c>
      <c r="D61" s="44"/>
      <c r="E61" s="36"/>
      <c r="F61" s="36">
        <v>39.369999999999997</v>
      </c>
      <c r="G61" s="36">
        <v>0.4</v>
      </c>
      <c r="H61" s="36">
        <v>0.4</v>
      </c>
      <c r="I61" s="36">
        <f>ROUND(PRODUCT(E61:H61),2)</f>
        <v>6.3</v>
      </c>
      <c r="L61" s="201"/>
    </row>
    <row r="62" spans="1:12" s="10" customFormat="1" x14ac:dyDescent="0.2">
      <c r="A62" s="32"/>
      <c r="B62" s="265"/>
      <c r="C62" s="273" t="s">
        <v>423</v>
      </c>
      <c r="D62" s="44"/>
      <c r="E62" s="36"/>
      <c r="F62" s="36">
        <v>39.369999999999997</v>
      </c>
      <c r="G62" s="36">
        <v>0.4</v>
      </c>
      <c r="H62" s="36">
        <v>0.4</v>
      </c>
      <c r="I62" s="36">
        <f t="shared" si="0"/>
        <v>6.3</v>
      </c>
      <c r="L62" s="201"/>
    </row>
    <row r="63" spans="1:12" s="10" customFormat="1" x14ac:dyDescent="0.2">
      <c r="A63" s="32"/>
      <c r="B63" s="265"/>
      <c r="C63" s="273" t="s">
        <v>424</v>
      </c>
      <c r="D63" s="44"/>
      <c r="E63" s="36"/>
      <c r="F63" s="36">
        <v>14.24</v>
      </c>
      <c r="G63" s="36">
        <v>0.4</v>
      </c>
      <c r="H63" s="36">
        <v>0.4</v>
      </c>
      <c r="I63" s="36">
        <f t="shared" si="0"/>
        <v>2.2799999999999998</v>
      </c>
      <c r="L63" s="201"/>
    </row>
    <row r="64" spans="1:12" s="10" customFormat="1" x14ac:dyDescent="0.2">
      <c r="A64" s="32"/>
      <c r="B64" s="265"/>
      <c r="C64" s="273" t="s">
        <v>425</v>
      </c>
      <c r="D64" s="44"/>
      <c r="E64" s="36"/>
      <c r="F64" s="36">
        <v>1.9</v>
      </c>
      <c r="G64" s="36">
        <v>0.35</v>
      </c>
      <c r="H64" s="36">
        <v>0.4</v>
      </c>
      <c r="I64" s="36">
        <f t="shared" si="0"/>
        <v>0.27</v>
      </c>
      <c r="L64" s="201"/>
    </row>
    <row r="65" spans="1:12" s="10" customFormat="1" x14ac:dyDescent="0.2">
      <c r="A65" s="32"/>
      <c r="B65" s="265"/>
      <c r="C65" s="273" t="s">
        <v>426</v>
      </c>
      <c r="D65" s="44"/>
      <c r="E65" s="36"/>
      <c r="F65" s="36">
        <v>24.85</v>
      </c>
      <c r="G65" s="36">
        <v>0.4</v>
      </c>
      <c r="H65" s="36">
        <v>0.4</v>
      </c>
      <c r="I65" s="36">
        <f t="shared" si="0"/>
        <v>3.98</v>
      </c>
      <c r="L65" s="201"/>
    </row>
    <row r="66" spans="1:12" s="10" customFormat="1" x14ac:dyDescent="0.2">
      <c r="A66" s="32"/>
      <c r="B66" s="265"/>
      <c r="C66" s="273" t="s">
        <v>427</v>
      </c>
      <c r="D66" s="44"/>
      <c r="E66" s="36"/>
      <c r="F66" s="36">
        <v>1.9</v>
      </c>
      <c r="G66" s="36">
        <v>0.35</v>
      </c>
      <c r="H66" s="36">
        <v>0.4</v>
      </c>
      <c r="I66" s="36">
        <f t="shared" si="0"/>
        <v>0.27</v>
      </c>
      <c r="L66" s="201"/>
    </row>
    <row r="67" spans="1:12" s="10" customFormat="1" x14ac:dyDescent="0.2">
      <c r="A67" s="32"/>
      <c r="B67" s="265"/>
      <c r="C67" s="273" t="s">
        <v>428</v>
      </c>
      <c r="D67" s="44"/>
      <c r="E67" s="36"/>
      <c r="F67" s="36">
        <v>24.85</v>
      </c>
      <c r="G67" s="36">
        <v>0.4</v>
      </c>
      <c r="H67" s="36">
        <v>0.4</v>
      </c>
      <c r="I67" s="36">
        <f t="shared" si="0"/>
        <v>3.98</v>
      </c>
      <c r="L67" s="201"/>
    </row>
    <row r="68" spans="1:12" s="10" customFormat="1" x14ac:dyDescent="0.2">
      <c r="A68" s="32"/>
      <c r="B68" s="265"/>
      <c r="C68" s="273" t="s">
        <v>429</v>
      </c>
      <c r="D68" s="44"/>
      <c r="E68" s="36"/>
      <c r="F68" s="36">
        <v>1.9</v>
      </c>
      <c r="G68" s="36">
        <v>0.35</v>
      </c>
      <c r="H68" s="36">
        <v>0.4</v>
      </c>
      <c r="I68" s="36">
        <f t="shared" si="0"/>
        <v>0.27</v>
      </c>
      <c r="L68" s="201"/>
    </row>
    <row r="69" spans="1:12" s="10" customFormat="1" x14ac:dyDescent="0.2">
      <c r="A69" s="32"/>
      <c r="B69" s="265"/>
      <c r="C69" s="273" t="s">
        <v>430</v>
      </c>
      <c r="D69" s="44"/>
      <c r="E69" s="36"/>
      <c r="F69" s="36">
        <v>24.85</v>
      </c>
      <c r="G69" s="36">
        <v>0.4</v>
      </c>
      <c r="H69" s="36">
        <v>0.4</v>
      </c>
      <c r="I69" s="36">
        <f t="shared" si="0"/>
        <v>3.98</v>
      </c>
      <c r="L69" s="201"/>
    </row>
    <row r="70" spans="1:12" s="10" customFormat="1" x14ac:dyDescent="0.2">
      <c r="A70" s="32"/>
      <c r="B70" s="265"/>
      <c r="C70" s="273" t="s">
        <v>431</v>
      </c>
      <c r="D70" s="44"/>
      <c r="E70" s="36"/>
      <c r="F70" s="36">
        <v>22.76</v>
      </c>
      <c r="G70" s="36">
        <v>0.4</v>
      </c>
      <c r="H70" s="36">
        <v>0.4</v>
      </c>
      <c r="I70" s="36">
        <f t="shared" si="0"/>
        <v>3.64</v>
      </c>
      <c r="L70" s="201"/>
    </row>
    <row r="71" spans="1:12" s="10" customFormat="1" x14ac:dyDescent="0.2">
      <c r="A71" s="32"/>
      <c r="B71" s="265"/>
      <c r="C71" s="273" t="s">
        <v>432</v>
      </c>
      <c r="D71" s="44"/>
      <c r="E71" s="36"/>
      <c r="F71" s="36">
        <v>1.9</v>
      </c>
      <c r="G71" s="36">
        <v>0.35</v>
      </c>
      <c r="H71" s="36">
        <v>0.4</v>
      </c>
      <c r="I71" s="36">
        <f t="shared" si="0"/>
        <v>0.27</v>
      </c>
      <c r="L71" s="201"/>
    </row>
    <row r="72" spans="1:12" s="10" customFormat="1" x14ac:dyDescent="0.2">
      <c r="A72" s="32"/>
      <c r="B72" s="265"/>
      <c r="C72" s="273" t="s">
        <v>433</v>
      </c>
      <c r="D72" s="44"/>
      <c r="E72" s="36"/>
      <c r="F72" s="36">
        <v>2.2000000000000002</v>
      </c>
      <c r="G72" s="36">
        <v>0.35</v>
      </c>
      <c r="H72" s="36">
        <v>0.4</v>
      </c>
      <c r="I72" s="36">
        <f t="shared" si="0"/>
        <v>0.31</v>
      </c>
      <c r="L72" s="201"/>
    </row>
    <row r="73" spans="1:12" s="10" customFormat="1" x14ac:dyDescent="0.2">
      <c r="A73" s="32"/>
      <c r="B73" s="265"/>
      <c r="C73" s="273" t="s">
        <v>434</v>
      </c>
      <c r="D73" s="44"/>
      <c r="E73" s="36"/>
      <c r="F73" s="36">
        <v>22.76</v>
      </c>
      <c r="G73" s="36">
        <v>0.4</v>
      </c>
      <c r="H73" s="36">
        <v>0.4</v>
      </c>
      <c r="I73" s="36">
        <f t="shared" si="0"/>
        <v>3.64</v>
      </c>
      <c r="L73" s="201"/>
    </row>
    <row r="74" spans="1:12" s="10" customFormat="1" x14ac:dyDescent="0.2">
      <c r="A74" s="32"/>
      <c r="B74" s="265"/>
      <c r="C74" s="273" t="s">
        <v>435</v>
      </c>
      <c r="D74" s="44"/>
      <c r="E74" s="36"/>
      <c r="F74" s="36">
        <v>1.9</v>
      </c>
      <c r="G74" s="36">
        <v>0.35</v>
      </c>
      <c r="H74" s="36">
        <v>0.4</v>
      </c>
      <c r="I74" s="36">
        <f t="shared" si="0"/>
        <v>0.27</v>
      </c>
      <c r="L74" s="201"/>
    </row>
    <row r="75" spans="1:12" s="10" customFormat="1" x14ac:dyDescent="0.2">
      <c r="A75" s="32"/>
      <c r="B75" s="265"/>
      <c r="C75" s="273" t="s">
        <v>436</v>
      </c>
      <c r="D75" s="44"/>
      <c r="E75" s="36"/>
      <c r="F75" s="36">
        <v>2.2000000000000002</v>
      </c>
      <c r="G75" s="36">
        <v>0.35</v>
      </c>
      <c r="H75" s="36">
        <v>0.4</v>
      </c>
      <c r="I75" s="36">
        <f t="shared" si="0"/>
        <v>0.31</v>
      </c>
      <c r="L75" s="201"/>
    </row>
    <row r="76" spans="1:12" s="10" customFormat="1" x14ac:dyDescent="0.2">
      <c r="A76" s="32"/>
      <c r="B76" s="265"/>
      <c r="C76" s="273" t="s">
        <v>437</v>
      </c>
      <c r="D76" s="44"/>
      <c r="E76" s="36"/>
      <c r="F76" s="36">
        <v>5.15</v>
      </c>
      <c r="G76" s="36">
        <v>0.4</v>
      </c>
      <c r="H76" s="36">
        <v>0.4</v>
      </c>
      <c r="I76" s="36">
        <f t="shared" si="0"/>
        <v>0.82</v>
      </c>
      <c r="L76" s="201"/>
    </row>
    <row r="77" spans="1:12" s="10" customFormat="1" x14ac:dyDescent="0.2">
      <c r="A77" s="32"/>
      <c r="B77" s="265"/>
      <c r="C77" s="273" t="s">
        <v>438</v>
      </c>
      <c r="D77" s="44"/>
      <c r="E77" s="36"/>
      <c r="F77" s="36">
        <v>2</v>
      </c>
      <c r="G77" s="36">
        <v>0.4</v>
      </c>
      <c r="H77" s="36">
        <v>0.4</v>
      </c>
      <c r="I77" s="36">
        <f t="shared" si="0"/>
        <v>0.32</v>
      </c>
      <c r="L77" s="201"/>
    </row>
    <row r="78" spans="1:12" s="10" customFormat="1" x14ac:dyDescent="0.2">
      <c r="A78" s="32"/>
      <c r="B78" s="265"/>
      <c r="C78" s="273" t="s">
        <v>439</v>
      </c>
      <c r="D78" s="44"/>
      <c r="E78" s="36"/>
      <c r="F78" s="36">
        <v>22.76</v>
      </c>
      <c r="G78" s="36">
        <v>0.4</v>
      </c>
      <c r="H78" s="36">
        <v>0.4</v>
      </c>
      <c r="I78" s="36">
        <f t="shared" si="0"/>
        <v>3.64</v>
      </c>
      <c r="L78" s="201"/>
    </row>
    <row r="79" spans="1:12" s="10" customFormat="1" x14ac:dyDescent="0.2">
      <c r="A79" s="32"/>
      <c r="B79" s="265"/>
      <c r="C79" s="273" t="s">
        <v>440</v>
      </c>
      <c r="D79" s="44"/>
      <c r="E79" s="36"/>
      <c r="F79" s="36">
        <v>5.15</v>
      </c>
      <c r="G79" s="36">
        <v>0.4</v>
      </c>
      <c r="H79" s="36">
        <v>0.4</v>
      </c>
      <c r="I79" s="36">
        <f t="shared" si="0"/>
        <v>0.82</v>
      </c>
      <c r="L79" s="201"/>
    </row>
    <row r="80" spans="1:12" s="10" customFormat="1" x14ac:dyDescent="0.2">
      <c r="A80" s="32"/>
      <c r="B80" s="265"/>
      <c r="C80" s="273" t="s">
        <v>441</v>
      </c>
      <c r="D80" s="44"/>
      <c r="E80" s="36"/>
      <c r="F80" s="36">
        <v>1.9</v>
      </c>
      <c r="G80" s="36">
        <v>0.35</v>
      </c>
      <c r="H80" s="36">
        <v>0.4</v>
      </c>
      <c r="I80" s="36">
        <f>ROUND(PRODUCT(E80:H80),2)</f>
        <v>0.27</v>
      </c>
      <c r="L80" s="201"/>
    </row>
    <row r="81" spans="1:31" s="10" customFormat="1" x14ac:dyDescent="0.2">
      <c r="A81" s="32"/>
      <c r="B81" s="265"/>
      <c r="C81" s="273" t="s">
        <v>442</v>
      </c>
      <c r="D81" s="44"/>
      <c r="E81" s="36"/>
      <c r="F81" s="36">
        <v>2</v>
      </c>
      <c r="G81" s="36">
        <v>0.4</v>
      </c>
      <c r="H81" s="36">
        <v>0.4</v>
      </c>
      <c r="I81" s="36">
        <f>ROUND(PRODUCT(E81:H81),2)</f>
        <v>0.32</v>
      </c>
      <c r="L81" s="201"/>
    </row>
    <row r="82" spans="1:31" s="10" customFormat="1" x14ac:dyDescent="0.2">
      <c r="A82" s="32"/>
      <c r="B82" s="265"/>
      <c r="C82" s="273" t="s">
        <v>443</v>
      </c>
      <c r="D82" s="44"/>
      <c r="E82" s="36"/>
      <c r="F82" s="36">
        <v>24.85</v>
      </c>
      <c r="G82" s="36">
        <v>0.4</v>
      </c>
      <c r="H82" s="36">
        <v>0.4</v>
      </c>
      <c r="I82" s="36">
        <f>ROUND(PRODUCT(E82:H82),2)</f>
        <v>3.98</v>
      </c>
      <c r="L82" s="201"/>
    </row>
    <row r="83" spans="1:31" s="10" customFormat="1" x14ac:dyDescent="0.2">
      <c r="A83" s="32"/>
      <c r="B83" s="265"/>
      <c r="C83" s="273" t="s">
        <v>444</v>
      </c>
      <c r="D83" s="44"/>
      <c r="E83" s="36"/>
      <c r="F83" s="36">
        <v>5.15</v>
      </c>
      <c r="G83" s="36">
        <v>0.4</v>
      </c>
      <c r="H83" s="36">
        <v>0.4</v>
      </c>
      <c r="I83" s="36">
        <f>ROUND(PRODUCT(E83:H83),2)</f>
        <v>0.82</v>
      </c>
      <c r="L83" s="201"/>
    </row>
    <row r="84" spans="1:31" s="10" customFormat="1" x14ac:dyDescent="0.2">
      <c r="A84" s="32"/>
      <c r="B84" s="265"/>
      <c r="C84" s="273"/>
      <c r="D84" s="44"/>
      <c r="E84" s="36"/>
      <c r="F84" s="36" t="s">
        <v>837</v>
      </c>
      <c r="G84" s="36"/>
      <c r="H84" s="36"/>
      <c r="I84" s="36"/>
      <c r="L84" s="201"/>
    </row>
    <row r="85" spans="1:31" s="10" customFormat="1" x14ac:dyDescent="0.2">
      <c r="A85" s="32"/>
      <c r="B85" s="265"/>
      <c r="C85" s="273" t="s">
        <v>836</v>
      </c>
      <c r="D85" s="44"/>
      <c r="E85" s="36">
        <v>-1</v>
      </c>
      <c r="F85" s="36">
        <v>77.28</v>
      </c>
      <c r="G85" s="36"/>
      <c r="H85" s="36"/>
      <c r="I85" s="36">
        <f>ROUND(PRODUCT(E85:H85),2)</f>
        <v>-77.28</v>
      </c>
      <c r="L85" s="201"/>
    </row>
    <row r="86" spans="1:31" s="279" customFormat="1" x14ac:dyDescent="0.2">
      <c r="A86" s="274"/>
      <c r="B86" s="275"/>
      <c r="C86" s="276" t="str">
        <f>"Total item "&amp;A48</f>
        <v>Total item 3.1</v>
      </c>
      <c r="D86" s="277"/>
      <c r="E86" s="278"/>
      <c r="F86" s="278"/>
      <c r="G86" s="278"/>
      <c r="H86" s="278"/>
      <c r="I86" s="19">
        <f>SUM(I50:I85)</f>
        <v>133.63</v>
      </c>
      <c r="J86" s="279" t="s">
        <v>472</v>
      </c>
      <c r="K86" s="10"/>
      <c r="L86" s="201"/>
      <c r="M86" s="10"/>
      <c r="N86" s="10"/>
      <c r="O86" s="10"/>
      <c r="P86" s="10"/>
      <c r="Q86" s="10"/>
      <c r="R86" s="10"/>
      <c r="S86" s="10"/>
    </row>
    <row r="87" spans="1:31" s="10" customFormat="1" x14ac:dyDescent="0.2">
      <c r="A87" s="32"/>
      <c r="B87" s="265"/>
      <c r="C87" s="266"/>
      <c r="D87" s="33"/>
      <c r="E87" s="267"/>
      <c r="F87" s="267"/>
      <c r="G87" s="267"/>
      <c r="H87" s="267"/>
      <c r="I87" s="280" t="s">
        <v>445</v>
      </c>
      <c r="L87" s="201"/>
    </row>
    <row r="88" spans="1:31" s="31" customFormat="1" ht="22.5" x14ac:dyDescent="0.2">
      <c r="A88" s="268" t="s">
        <v>11</v>
      </c>
      <c r="B88" s="269" t="s">
        <v>59</v>
      </c>
      <c r="C88" s="270" t="s">
        <v>324</v>
      </c>
      <c r="D88" s="271" t="s">
        <v>118</v>
      </c>
      <c r="E88" s="19"/>
      <c r="F88" s="19"/>
      <c r="G88" s="19"/>
      <c r="H88" s="19"/>
      <c r="I88" s="19"/>
      <c r="AE88" s="31" t="s">
        <v>126</v>
      </c>
    </row>
    <row r="89" spans="1:31" s="30" customFormat="1" x14ac:dyDescent="0.2">
      <c r="A89" s="32"/>
      <c r="B89" s="265"/>
      <c r="C89" s="273" t="s">
        <v>474</v>
      </c>
      <c r="D89" s="273"/>
      <c r="E89" s="273"/>
      <c r="F89" s="36"/>
      <c r="G89" s="36"/>
      <c r="H89" s="36"/>
      <c r="I89" s="36"/>
      <c r="J89" s="10"/>
      <c r="L89" s="10"/>
    </row>
    <row r="90" spans="1:31" s="30" customFormat="1" x14ac:dyDescent="0.2">
      <c r="A90" s="32"/>
      <c r="B90" s="265"/>
      <c r="C90" s="273"/>
      <c r="D90" s="44"/>
      <c r="E90" s="36"/>
      <c r="F90" s="36">
        <v>48</v>
      </c>
      <c r="G90" s="36">
        <v>25</v>
      </c>
      <c r="H90" s="36">
        <v>0.2</v>
      </c>
      <c r="I90" s="36">
        <f>ROUND(PRODUCT(E90:H90),2)</f>
        <v>240</v>
      </c>
      <c r="J90" s="10"/>
      <c r="L90" s="10"/>
    </row>
    <row r="91" spans="1:31" s="30" customFormat="1" x14ac:dyDescent="0.2">
      <c r="A91" s="32"/>
      <c r="B91" s="265"/>
      <c r="C91" s="273"/>
      <c r="D91" s="44"/>
      <c r="E91" s="36"/>
      <c r="F91" s="36" t="s">
        <v>837</v>
      </c>
      <c r="G91" s="36"/>
      <c r="H91" s="36"/>
      <c r="I91" s="36"/>
      <c r="J91" s="10"/>
      <c r="L91" s="10"/>
    </row>
    <row r="92" spans="1:31" s="30" customFormat="1" x14ac:dyDescent="0.2">
      <c r="A92" s="32"/>
      <c r="B92" s="265"/>
      <c r="C92" s="273" t="s">
        <v>838</v>
      </c>
      <c r="D92" s="44"/>
      <c r="E92" s="36">
        <v>-1</v>
      </c>
      <c r="F92" s="36">
        <v>66.09</v>
      </c>
      <c r="G92" s="36"/>
      <c r="H92" s="36"/>
      <c r="I92" s="36">
        <f>ROUND(PRODUCT(E92:H92),2)</f>
        <v>-66.09</v>
      </c>
      <c r="J92" s="10"/>
      <c r="L92" s="10"/>
    </row>
    <row r="93" spans="1:31" s="10" customFormat="1" x14ac:dyDescent="0.2">
      <c r="A93" s="32"/>
      <c r="B93" s="265"/>
      <c r="C93" s="45" t="str">
        <f>"Total item "&amp;A88</f>
        <v>Total item 3.2</v>
      </c>
      <c r="D93" s="44"/>
      <c r="E93" s="36"/>
      <c r="F93" s="36"/>
      <c r="G93" s="36"/>
      <c r="H93" s="36"/>
      <c r="I93" s="19">
        <f>SUM(I89:I92)</f>
        <v>173.91</v>
      </c>
    </row>
    <row r="94" spans="1:31" s="10" customFormat="1" x14ac:dyDescent="0.2">
      <c r="A94" s="32"/>
      <c r="B94" s="265"/>
      <c r="C94" s="266"/>
      <c r="D94" s="33"/>
      <c r="E94" s="267"/>
      <c r="F94" s="267"/>
      <c r="G94" s="267"/>
      <c r="H94" s="267"/>
      <c r="I94" s="267"/>
    </row>
    <row r="95" spans="1:31" s="31" customFormat="1" ht="22.5" x14ac:dyDescent="0.2">
      <c r="A95" s="268" t="s">
        <v>288</v>
      </c>
      <c r="B95" s="269" t="s">
        <v>59</v>
      </c>
      <c r="C95" s="270" t="s">
        <v>326</v>
      </c>
      <c r="D95" s="271" t="s">
        <v>118</v>
      </c>
      <c r="E95" s="19"/>
      <c r="F95" s="19"/>
      <c r="G95" s="19"/>
      <c r="H95" s="19"/>
      <c r="I95" s="19"/>
      <c r="AE95" s="31" t="s">
        <v>126</v>
      </c>
    </row>
    <row r="96" spans="1:31" s="10" customFormat="1" x14ac:dyDescent="0.2">
      <c r="A96" s="32"/>
      <c r="B96" s="265"/>
      <c r="C96" s="281" t="s">
        <v>205</v>
      </c>
      <c r="D96" s="44"/>
      <c r="E96" s="36"/>
      <c r="F96" s="36">
        <f>I86</f>
        <v>133.63</v>
      </c>
      <c r="G96" s="36"/>
      <c r="H96" s="36"/>
      <c r="I96" s="36">
        <f>ROUND(PRODUCT(E96:H96),2)</f>
        <v>133.63</v>
      </c>
    </row>
    <row r="97" spans="1:31" s="10" customFormat="1" x14ac:dyDescent="0.2">
      <c r="A97" s="32"/>
      <c r="B97" s="265"/>
      <c r="C97" s="281" t="s">
        <v>206</v>
      </c>
      <c r="D97" s="44"/>
      <c r="E97" s="36">
        <v>-1</v>
      </c>
      <c r="F97" s="36">
        <f>I143</f>
        <v>10.619999999999994</v>
      </c>
      <c r="G97" s="36"/>
      <c r="H97" s="36"/>
      <c r="I97" s="36">
        <f>ROUND(PRODUCT(E97:H97),2)</f>
        <v>-10.62</v>
      </c>
    </row>
    <row r="98" spans="1:31" s="10" customFormat="1" x14ac:dyDescent="0.2">
      <c r="A98" s="32"/>
      <c r="B98" s="265"/>
      <c r="C98" s="273" t="s">
        <v>377</v>
      </c>
      <c r="D98" s="44"/>
      <c r="E98" s="36">
        <v>-1</v>
      </c>
      <c r="F98" s="36">
        <f>I219</f>
        <v>49.22</v>
      </c>
      <c r="G98" s="36"/>
      <c r="H98" s="36"/>
      <c r="I98" s="36">
        <f>ROUND(PRODUCT(E98:H98),2)</f>
        <v>-49.22</v>
      </c>
    </row>
    <row r="99" spans="1:31" s="10" customFormat="1" x14ac:dyDescent="0.2">
      <c r="A99" s="32"/>
      <c r="B99" s="265"/>
      <c r="C99" s="273"/>
      <c r="D99" s="44"/>
      <c r="E99" s="36"/>
      <c r="F99" s="36" t="s">
        <v>837</v>
      </c>
      <c r="G99" s="36"/>
      <c r="H99" s="36"/>
      <c r="I99" s="36"/>
    </row>
    <row r="100" spans="1:31" s="10" customFormat="1" x14ac:dyDescent="0.2">
      <c r="A100" s="32"/>
      <c r="B100" s="265"/>
      <c r="C100" s="273" t="s">
        <v>839</v>
      </c>
      <c r="D100" s="44"/>
      <c r="E100" s="36">
        <v>-1</v>
      </c>
      <c r="F100" s="36">
        <v>46.34</v>
      </c>
      <c r="G100" s="36"/>
      <c r="H100" s="36"/>
      <c r="I100" s="36">
        <f>ROUND(PRODUCT(E100:H100),2)</f>
        <v>-46.34</v>
      </c>
    </row>
    <row r="101" spans="1:31" s="10" customFormat="1" x14ac:dyDescent="0.2">
      <c r="A101" s="32"/>
      <c r="B101" s="265"/>
      <c r="C101" s="45" t="str">
        <f>"Total item "&amp;A95</f>
        <v>Total item 3.3</v>
      </c>
      <c r="D101" s="44"/>
      <c r="E101" s="36"/>
      <c r="F101" s="36"/>
      <c r="G101" s="36"/>
      <c r="H101" s="36"/>
      <c r="I101" s="19">
        <f>SUM(I96:I100)</f>
        <v>27.449999999999989</v>
      </c>
    </row>
    <row r="102" spans="1:31" s="10" customFormat="1" x14ac:dyDescent="0.2">
      <c r="A102" s="32"/>
      <c r="B102" s="265"/>
      <c r="C102" s="266"/>
      <c r="D102" s="33"/>
      <c r="E102" s="267"/>
      <c r="F102" s="267"/>
      <c r="G102" s="267"/>
      <c r="H102" s="267"/>
      <c r="I102" s="267"/>
    </row>
    <row r="103" spans="1:31" s="263" customFormat="1" ht="10.5" customHeight="1" x14ac:dyDescent="0.2">
      <c r="A103" s="252" t="s">
        <v>234</v>
      </c>
      <c r="B103" s="253"/>
      <c r="C103" s="254" t="s">
        <v>50</v>
      </c>
      <c r="D103" s="255"/>
      <c r="E103" s="256"/>
      <c r="F103" s="256"/>
      <c r="G103" s="256"/>
      <c r="H103" s="256"/>
      <c r="I103" s="256"/>
      <c r="J103" s="261" t="s">
        <v>110</v>
      </c>
      <c r="K103" s="262" t="s">
        <v>160</v>
      </c>
      <c r="AE103" s="264"/>
    </row>
    <row r="104" spans="1:31" s="10" customFormat="1" x14ac:dyDescent="0.2">
      <c r="A104" s="32"/>
      <c r="B104" s="265"/>
      <c r="C104" s="266"/>
      <c r="D104" s="33"/>
      <c r="E104" s="267"/>
      <c r="F104" s="267"/>
      <c r="G104" s="267"/>
      <c r="H104" s="267"/>
      <c r="I104" s="267"/>
    </row>
    <row r="105" spans="1:31" s="31" customFormat="1" ht="22.5" x14ac:dyDescent="0.2">
      <c r="A105" s="268" t="s">
        <v>13</v>
      </c>
      <c r="B105" s="269" t="s">
        <v>59</v>
      </c>
      <c r="C105" s="270" t="s">
        <v>155</v>
      </c>
      <c r="D105" s="271" t="s">
        <v>118</v>
      </c>
      <c r="E105" s="19"/>
      <c r="F105" s="19"/>
      <c r="G105" s="19"/>
      <c r="H105" s="19"/>
      <c r="I105" s="19"/>
      <c r="AE105" s="31" t="s">
        <v>127</v>
      </c>
    </row>
    <row r="106" spans="1:31" x14ac:dyDescent="0.2">
      <c r="A106" s="32"/>
      <c r="B106" s="265"/>
      <c r="C106" s="45" t="s">
        <v>290</v>
      </c>
      <c r="D106" s="44"/>
      <c r="E106" s="36"/>
      <c r="F106" s="36"/>
      <c r="G106" s="36"/>
      <c r="H106" s="36"/>
      <c r="I106" s="36"/>
      <c r="L106" s="282"/>
      <c r="M106" s="282"/>
      <c r="N106" s="282"/>
      <c r="O106" s="282"/>
      <c r="P106" s="282"/>
      <c r="Q106" s="282"/>
      <c r="R106" s="282"/>
    </row>
    <row r="107" spans="1:31" x14ac:dyDescent="0.2">
      <c r="A107" s="32"/>
      <c r="B107" s="265"/>
      <c r="C107" s="273" t="s">
        <v>404</v>
      </c>
      <c r="D107" s="44"/>
      <c r="E107" s="36">
        <v>44</v>
      </c>
      <c r="F107" s="36">
        <v>1.2</v>
      </c>
      <c r="G107" s="36">
        <v>1.2</v>
      </c>
      <c r="H107" s="36">
        <v>0.05</v>
      </c>
      <c r="I107" s="36">
        <f>ROUND(PRODUCT(E107:H107),2)</f>
        <v>3.17</v>
      </c>
      <c r="L107" s="282" t="s">
        <v>102</v>
      </c>
      <c r="M107" s="282" t="s">
        <v>103</v>
      </c>
      <c r="N107" s="282" t="s">
        <v>104</v>
      </c>
      <c r="O107" s="282" t="s">
        <v>105</v>
      </c>
      <c r="P107" s="282" t="s">
        <v>106</v>
      </c>
      <c r="Q107" s="282" t="s">
        <v>107</v>
      </c>
      <c r="R107" s="282" t="s">
        <v>114</v>
      </c>
    </row>
    <row r="108" spans="1:31" x14ac:dyDescent="0.2">
      <c r="A108" s="32"/>
      <c r="B108" s="265"/>
      <c r="C108" s="273" t="s">
        <v>405</v>
      </c>
      <c r="D108" s="44"/>
      <c r="E108" s="36">
        <v>33</v>
      </c>
      <c r="F108" s="36">
        <v>1.1000000000000001</v>
      </c>
      <c r="G108" s="36">
        <v>1.1000000000000001</v>
      </c>
      <c r="H108" s="36">
        <v>0.05</v>
      </c>
      <c r="I108" s="36">
        <f>ROUND(PRODUCT(E108:H108),2)</f>
        <v>2</v>
      </c>
      <c r="K108" s="283"/>
      <c r="L108" s="284">
        <v>0.8</v>
      </c>
      <c r="M108" s="284">
        <v>0.8</v>
      </c>
      <c r="N108" s="284">
        <v>0.2</v>
      </c>
      <c r="O108" s="284">
        <v>0.3</v>
      </c>
      <c r="P108" s="284">
        <v>0.15</v>
      </c>
      <c r="Q108" s="284">
        <v>0.25</v>
      </c>
      <c r="R108" s="284">
        <v>1.5</v>
      </c>
    </row>
    <row r="109" spans="1:31" x14ac:dyDescent="0.2">
      <c r="A109" s="32"/>
      <c r="B109" s="265"/>
      <c r="C109" s="273" t="s">
        <v>406</v>
      </c>
      <c r="D109" s="44"/>
      <c r="E109" s="36">
        <v>11</v>
      </c>
      <c r="F109" s="36">
        <v>0.9</v>
      </c>
      <c r="G109" s="36">
        <v>0.9</v>
      </c>
      <c r="H109" s="36">
        <v>0.05</v>
      </c>
      <c r="I109" s="36">
        <f>ROUND(PRODUCT(E109:H109),2)</f>
        <v>0.45</v>
      </c>
      <c r="L109" s="282" t="s">
        <v>102</v>
      </c>
      <c r="M109" s="282" t="s">
        <v>103</v>
      </c>
      <c r="N109" s="282" t="s">
        <v>104</v>
      </c>
      <c r="O109" s="282" t="s">
        <v>105</v>
      </c>
      <c r="P109" s="282" t="s">
        <v>106</v>
      </c>
      <c r="Q109" s="282" t="s">
        <v>107</v>
      </c>
      <c r="R109" s="282" t="s">
        <v>114</v>
      </c>
    </row>
    <row r="110" spans="1:31" x14ac:dyDescent="0.2">
      <c r="A110" s="32"/>
      <c r="B110" s="265"/>
      <c r="C110" s="45" t="s">
        <v>287</v>
      </c>
      <c r="D110" s="44"/>
      <c r="E110" s="36"/>
      <c r="F110" s="36"/>
      <c r="G110" s="36"/>
      <c r="H110" s="36"/>
      <c r="I110" s="36"/>
      <c r="K110" s="283"/>
      <c r="L110" s="284">
        <v>0.8</v>
      </c>
      <c r="M110" s="284">
        <v>0.8</v>
      </c>
      <c r="N110" s="284">
        <v>0.2</v>
      </c>
      <c r="O110" s="284">
        <v>0.3</v>
      </c>
      <c r="P110" s="284">
        <v>0.15</v>
      </c>
      <c r="Q110" s="284">
        <v>0.25</v>
      </c>
      <c r="R110" s="284">
        <v>1.5</v>
      </c>
    </row>
    <row r="111" spans="1:31" x14ac:dyDescent="0.2">
      <c r="A111" s="32"/>
      <c r="B111" s="265"/>
      <c r="C111" s="273" t="s">
        <v>415</v>
      </c>
      <c r="D111" s="44"/>
      <c r="E111" s="36"/>
      <c r="F111" s="36">
        <f>5.13+1.77+3.35</f>
        <v>10.25</v>
      </c>
      <c r="G111" s="36">
        <v>0.4</v>
      </c>
      <c r="H111" s="36">
        <v>0.05</v>
      </c>
      <c r="I111" s="36">
        <f>ROUND(PRODUCT(E111:H111),2)</f>
        <v>0.21</v>
      </c>
      <c r="L111" s="285"/>
    </row>
    <row r="112" spans="1:31" x14ac:dyDescent="0.2">
      <c r="A112" s="32"/>
      <c r="B112" s="265"/>
      <c r="C112" s="273" t="s">
        <v>416</v>
      </c>
      <c r="D112" s="44"/>
      <c r="E112" s="36"/>
      <c r="F112" s="36">
        <f>5.13+1.77+3.35</f>
        <v>10.25</v>
      </c>
      <c r="G112" s="36">
        <v>0.4</v>
      </c>
      <c r="H112" s="36">
        <v>0.05</v>
      </c>
      <c r="I112" s="36">
        <f t="shared" ref="I112:I140" si="1">ROUND(PRODUCT(E112:H112),2)</f>
        <v>0.21</v>
      </c>
      <c r="L112" s="286" t="s">
        <v>81</v>
      </c>
      <c r="M112" s="286" t="s">
        <v>103</v>
      </c>
    </row>
    <row r="113" spans="1:18" x14ac:dyDescent="0.2">
      <c r="A113" s="32"/>
      <c r="B113" s="265"/>
      <c r="C113" s="273" t="s">
        <v>417</v>
      </c>
      <c r="D113" s="44"/>
      <c r="E113" s="36"/>
      <c r="F113" s="36">
        <v>46.42</v>
      </c>
      <c r="G113" s="36">
        <v>0.4</v>
      </c>
      <c r="H113" s="36">
        <v>0.05</v>
      </c>
      <c r="I113" s="36">
        <f t="shared" si="1"/>
        <v>0.93</v>
      </c>
      <c r="L113" s="287">
        <v>0.2</v>
      </c>
      <c r="M113" s="287">
        <v>0.2</v>
      </c>
    </row>
    <row r="114" spans="1:18" x14ac:dyDescent="0.2">
      <c r="A114" s="32"/>
      <c r="B114" s="265"/>
      <c r="C114" s="273" t="s">
        <v>418</v>
      </c>
      <c r="D114" s="44"/>
      <c r="E114" s="36"/>
      <c r="F114" s="36">
        <v>46.42</v>
      </c>
      <c r="G114" s="36">
        <v>0.4</v>
      </c>
      <c r="H114" s="36">
        <v>0.05</v>
      </c>
      <c r="I114" s="36">
        <f t="shared" si="1"/>
        <v>0.93</v>
      </c>
      <c r="K114" s="283"/>
      <c r="L114" s="284">
        <v>0.8</v>
      </c>
      <c r="M114" s="284">
        <v>0.8</v>
      </c>
      <c r="N114" s="284">
        <v>0.2</v>
      </c>
      <c r="O114" s="284">
        <v>0.3</v>
      </c>
      <c r="P114" s="284">
        <v>0.15</v>
      </c>
      <c r="Q114" s="284">
        <v>0.25</v>
      </c>
      <c r="R114" s="284">
        <v>1.5</v>
      </c>
    </row>
    <row r="115" spans="1:18" x14ac:dyDescent="0.2">
      <c r="A115" s="32"/>
      <c r="B115" s="265"/>
      <c r="C115" s="273" t="s">
        <v>419</v>
      </c>
      <c r="D115" s="44"/>
      <c r="E115" s="36"/>
      <c r="F115" s="36">
        <v>46.42</v>
      </c>
      <c r="G115" s="36">
        <v>0.4</v>
      </c>
      <c r="H115" s="36">
        <v>0.05</v>
      </c>
      <c r="I115" s="36">
        <f t="shared" si="1"/>
        <v>0.93</v>
      </c>
      <c r="L115" s="285"/>
    </row>
    <row r="116" spans="1:18" x14ac:dyDescent="0.2">
      <c r="A116" s="32"/>
      <c r="B116" s="265"/>
      <c r="C116" s="273" t="s">
        <v>420</v>
      </c>
      <c r="D116" s="44"/>
      <c r="E116" s="36"/>
      <c r="F116" s="36">
        <v>46.42</v>
      </c>
      <c r="G116" s="36">
        <v>0.4</v>
      </c>
      <c r="H116" s="36">
        <v>0.05</v>
      </c>
      <c r="I116" s="36">
        <f t="shared" si="1"/>
        <v>0.93</v>
      </c>
      <c r="L116" s="285"/>
    </row>
    <row r="117" spans="1:18" x14ac:dyDescent="0.2">
      <c r="A117" s="32"/>
      <c r="B117" s="265"/>
      <c r="C117" s="273" t="s">
        <v>421</v>
      </c>
      <c r="D117" s="44"/>
      <c r="E117" s="36"/>
      <c r="F117" s="36">
        <v>46.42</v>
      </c>
      <c r="G117" s="36">
        <v>0.4</v>
      </c>
      <c r="H117" s="36">
        <v>0.05</v>
      </c>
      <c r="I117" s="36">
        <f t="shared" si="1"/>
        <v>0.93</v>
      </c>
      <c r="L117" s="285"/>
    </row>
    <row r="118" spans="1:18" x14ac:dyDescent="0.2">
      <c r="A118" s="32"/>
      <c r="B118" s="265"/>
      <c r="C118" s="273" t="s">
        <v>422</v>
      </c>
      <c r="D118" s="44"/>
      <c r="E118" s="36"/>
      <c r="F118" s="36">
        <v>39.369999999999997</v>
      </c>
      <c r="G118" s="36">
        <v>0.4</v>
      </c>
      <c r="H118" s="36">
        <v>0.05</v>
      </c>
      <c r="I118" s="36">
        <f t="shared" si="1"/>
        <v>0.79</v>
      </c>
      <c r="L118" s="285"/>
    </row>
    <row r="119" spans="1:18" x14ac:dyDescent="0.2">
      <c r="A119" s="32"/>
      <c r="B119" s="265"/>
      <c r="C119" s="273" t="s">
        <v>423</v>
      </c>
      <c r="D119" s="44"/>
      <c r="E119" s="36"/>
      <c r="F119" s="36">
        <v>39.369999999999997</v>
      </c>
      <c r="G119" s="36">
        <v>0.4</v>
      </c>
      <c r="H119" s="36">
        <v>0.05</v>
      </c>
      <c r="I119" s="36">
        <f t="shared" si="1"/>
        <v>0.79</v>
      </c>
      <c r="L119" s="285"/>
    </row>
    <row r="120" spans="1:18" x14ac:dyDescent="0.2">
      <c r="A120" s="32"/>
      <c r="B120" s="265"/>
      <c r="C120" s="273" t="s">
        <v>424</v>
      </c>
      <c r="D120" s="44"/>
      <c r="E120" s="36"/>
      <c r="F120" s="36">
        <v>14.24</v>
      </c>
      <c r="G120" s="36">
        <v>0.4</v>
      </c>
      <c r="H120" s="36">
        <v>0.05</v>
      </c>
      <c r="I120" s="36">
        <f t="shared" si="1"/>
        <v>0.28000000000000003</v>
      </c>
      <c r="L120" s="285"/>
    </row>
    <row r="121" spans="1:18" x14ac:dyDescent="0.2">
      <c r="A121" s="32"/>
      <c r="B121" s="265"/>
      <c r="C121" s="273" t="s">
        <v>425</v>
      </c>
      <c r="D121" s="44"/>
      <c r="E121" s="36"/>
      <c r="F121" s="36">
        <v>1.9</v>
      </c>
      <c r="G121" s="36">
        <v>0.35</v>
      </c>
      <c r="H121" s="36">
        <v>0.05</v>
      </c>
      <c r="I121" s="36">
        <f t="shared" si="1"/>
        <v>0.03</v>
      </c>
      <c r="L121" s="285"/>
    </row>
    <row r="122" spans="1:18" x14ac:dyDescent="0.2">
      <c r="A122" s="32"/>
      <c r="B122" s="265"/>
      <c r="C122" s="273" t="s">
        <v>426</v>
      </c>
      <c r="D122" s="44"/>
      <c r="E122" s="36"/>
      <c r="F122" s="36">
        <v>24.85</v>
      </c>
      <c r="G122" s="36">
        <v>0.4</v>
      </c>
      <c r="H122" s="36">
        <v>0.05</v>
      </c>
      <c r="I122" s="36">
        <f t="shared" si="1"/>
        <v>0.5</v>
      </c>
      <c r="L122" s="285"/>
    </row>
    <row r="123" spans="1:18" x14ac:dyDescent="0.2">
      <c r="A123" s="32"/>
      <c r="B123" s="265"/>
      <c r="C123" s="273" t="s">
        <v>427</v>
      </c>
      <c r="D123" s="44"/>
      <c r="E123" s="36"/>
      <c r="F123" s="36">
        <v>1.9</v>
      </c>
      <c r="G123" s="36">
        <v>0.35</v>
      </c>
      <c r="H123" s="36">
        <v>0.05</v>
      </c>
      <c r="I123" s="36">
        <f t="shared" si="1"/>
        <v>0.03</v>
      </c>
      <c r="L123" s="285"/>
    </row>
    <row r="124" spans="1:18" x14ac:dyDescent="0.2">
      <c r="A124" s="32"/>
      <c r="B124" s="265"/>
      <c r="C124" s="273" t="s">
        <v>428</v>
      </c>
      <c r="D124" s="44"/>
      <c r="E124" s="36"/>
      <c r="F124" s="36">
        <v>24.85</v>
      </c>
      <c r="G124" s="36">
        <v>0.4</v>
      </c>
      <c r="H124" s="36">
        <v>0.05</v>
      </c>
      <c r="I124" s="36">
        <f t="shared" si="1"/>
        <v>0.5</v>
      </c>
      <c r="L124" s="285"/>
    </row>
    <row r="125" spans="1:18" x14ac:dyDescent="0.2">
      <c r="A125" s="32"/>
      <c r="B125" s="265"/>
      <c r="C125" s="273" t="s">
        <v>429</v>
      </c>
      <c r="D125" s="44"/>
      <c r="E125" s="36"/>
      <c r="F125" s="36">
        <v>1.9</v>
      </c>
      <c r="G125" s="36">
        <v>0.35</v>
      </c>
      <c r="H125" s="36">
        <v>0.05</v>
      </c>
      <c r="I125" s="36">
        <f t="shared" si="1"/>
        <v>0.03</v>
      </c>
      <c r="L125" s="285"/>
    </row>
    <row r="126" spans="1:18" x14ac:dyDescent="0.2">
      <c r="A126" s="32"/>
      <c r="B126" s="265"/>
      <c r="C126" s="273" t="s">
        <v>430</v>
      </c>
      <c r="D126" s="44"/>
      <c r="E126" s="36"/>
      <c r="F126" s="36">
        <v>24.85</v>
      </c>
      <c r="G126" s="36">
        <v>0.4</v>
      </c>
      <c r="H126" s="36">
        <v>0.05</v>
      </c>
      <c r="I126" s="36">
        <f t="shared" si="1"/>
        <v>0.5</v>
      </c>
      <c r="L126" s="285"/>
    </row>
    <row r="127" spans="1:18" x14ac:dyDescent="0.2">
      <c r="A127" s="32"/>
      <c r="B127" s="265"/>
      <c r="C127" s="273" t="s">
        <v>431</v>
      </c>
      <c r="D127" s="44"/>
      <c r="E127" s="36"/>
      <c r="F127" s="36">
        <v>22.76</v>
      </c>
      <c r="G127" s="36">
        <v>0.4</v>
      </c>
      <c r="H127" s="36">
        <v>0.05</v>
      </c>
      <c r="I127" s="36">
        <f t="shared" si="1"/>
        <v>0.46</v>
      </c>
      <c r="L127" s="285"/>
    </row>
    <row r="128" spans="1:18" x14ac:dyDescent="0.2">
      <c r="A128" s="32"/>
      <c r="B128" s="265"/>
      <c r="C128" s="273" t="s">
        <v>432</v>
      </c>
      <c r="D128" s="44"/>
      <c r="E128" s="36"/>
      <c r="F128" s="36">
        <v>1.9</v>
      </c>
      <c r="G128" s="36">
        <v>0.35</v>
      </c>
      <c r="H128" s="36">
        <v>0.05</v>
      </c>
      <c r="I128" s="36">
        <f t="shared" si="1"/>
        <v>0.03</v>
      </c>
      <c r="L128" s="285"/>
    </row>
    <row r="129" spans="1:18" x14ac:dyDescent="0.2">
      <c r="A129" s="32"/>
      <c r="B129" s="265"/>
      <c r="C129" s="273" t="s">
        <v>433</v>
      </c>
      <c r="D129" s="44"/>
      <c r="E129" s="36"/>
      <c r="F129" s="36">
        <v>2.2000000000000002</v>
      </c>
      <c r="G129" s="36">
        <v>0.35</v>
      </c>
      <c r="H129" s="36">
        <v>0.05</v>
      </c>
      <c r="I129" s="36">
        <f t="shared" si="1"/>
        <v>0.04</v>
      </c>
      <c r="L129" s="285"/>
    </row>
    <row r="130" spans="1:18" x14ac:dyDescent="0.2">
      <c r="A130" s="32"/>
      <c r="B130" s="265"/>
      <c r="C130" s="273" t="s">
        <v>434</v>
      </c>
      <c r="D130" s="44"/>
      <c r="E130" s="36"/>
      <c r="F130" s="36">
        <v>22.76</v>
      </c>
      <c r="G130" s="36">
        <v>0.4</v>
      </c>
      <c r="H130" s="36">
        <v>0.05</v>
      </c>
      <c r="I130" s="36">
        <f t="shared" si="1"/>
        <v>0.46</v>
      </c>
      <c r="L130" s="285"/>
    </row>
    <row r="131" spans="1:18" x14ac:dyDescent="0.2">
      <c r="A131" s="32"/>
      <c r="B131" s="265"/>
      <c r="C131" s="273" t="s">
        <v>435</v>
      </c>
      <c r="D131" s="44"/>
      <c r="E131" s="36"/>
      <c r="F131" s="36">
        <v>1.9</v>
      </c>
      <c r="G131" s="36">
        <v>0.35</v>
      </c>
      <c r="H131" s="36">
        <v>0.05</v>
      </c>
      <c r="I131" s="36">
        <f t="shared" si="1"/>
        <v>0.03</v>
      </c>
      <c r="L131" s="285"/>
    </row>
    <row r="132" spans="1:18" x14ac:dyDescent="0.2">
      <c r="A132" s="32"/>
      <c r="B132" s="265"/>
      <c r="C132" s="273" t="s">
        <v>436</v>
      </c>
      <c r="D132" s="44"/>
      <c r="E132" s="36"/>
      <c r="F132" s="36">
        <v>2.2000000000000002</v>
      </c>
      <c r="G132" s="36">
        <v>0.35</v>
      </c>
      <c r="H132" s="36">
        <v>0.05</v>
      </c>
      <c r="I132" s="36">
        <f t="shared" si="1"/>
        <v>0.04</v>
      </c>
      <c r="L132" s="285"/>
    </row>
    <row r="133" spans="1:18" x14ac:dyDescent="0.2">
      <c r="A133" s="32"/>
      <c r="B133" s="265"/>
      <c r="C133" s="273" t="s">
        <v>437</v>
      </c>
      <c r="D133" s="44"/>
      <c r="E133" s="36"/>
      <c r="F133" s="36">
        <v>5.15</v>
      </c>
      <c r="G133" s="36">
        <v>0.4</v>
      </c>
      <c r="H133" s="36">
        <v>0.05</v>
      </c>
      <c r="I133" s="36">
        <f t="shared" si="1"/>
        <v>0.1</v>
      </c>
      <c r="L133" s="285"/>
    </row>
    <row r="134" spans="1:18" x14ac:dyDescent="0.2">
      <c r="A134" s="32"/>
      <c r="B134" s="265"/>
      <c r="C134" s="273" t="s">
        <v>438</v>
      </c>
      <c r="D134" s="44"/>
      <c r="E134" s="36"/>
      <c r="F134" s="36">
        <v>2</v>
      </c>
      <c r="G134" s="36">
        <v>0.4</v>
      </c>
      <c r="H134" s="36">
        <v>0.05</v>
      </c>
      <c r="I134" s="36">
        <f t="shared" si="1"/>
        <v>0.04</v>
      </c>
      <c r="L134" s="285"/>
    </row>
    <row r="135" spans="1:18" x14ac:dyDescent="0.2">
      <c r="A135" s="32"/>
      <c r="B135" s="265"/>
      <c r="C135" s="273" t="s">
        <v>439</v>
      </c>
      <c r="D135" s="44"/>
      <c r="E135" s="36"/>
      <c r="F135" s="36">
        <v>22.76</v>
      </c>
      <c r="G135" s="36">
        <v>0.4</v>
      </c>
      <c r="H135" s="36">
        <v>0.05</v>
      </c>
      <c r="I135" s="36">
        <f t="shared" si="1"/>
        <v>0.46</v>
      </c>
      <c r="L135" s="285"/>
    </row>
    <row r="136" spans="1:18" x14ac:dyDescent="0.2">
      <c r="A136" s="32"/>
      <c r="B136" s="265"/>
      <c r="C136" s="273" t="s">
        <v>440</v>
      </c>
      <c r="D136" s="44"/>
      <c r="E136" s="36"/>
      <c r="F136" s="36">
        <v>5.15</v>
      </c>
      <c r="G136" s="36">
        <v>0.4</v>
      </c>
      <c r="H136" s="36">
        <v>0.05</v>
      </c>
      <c r="I136" s="36">
        <f t="shared" si="1"/>
        <v>0.1</v>
      </c>
      <c r="L136" s="286" t="s">
        <v>81</v>
      </c>
      <c r="M136" s="286" t="s">
        <v>103</v>
      </c>
    </row>
    <row r="137" spans="1:18" x14ac:dyDescent="0.2">
      <c r="A137" s="32"/>
      <c r="B137" s="265"/>
      <c r="C137" s="273" t="s">
        <v>441</v>
      </c>
      <c r="D137" s="44"/>
      <c r="E137" s="36"/>
      <c r="F137" s="36">
        <v>1.9</v>
      </c>
      <c r="G137" s="36">
        <v>0.35</v>
      </c>
      <c r="H137" s="36">
        <v>0.05</v>
      </c>
      <c r="I137" s="36">
        <f t="shared" si="1"/>
        <v>0.03</v>
      </c>
      <c r="L137" s="287">
        <v>0.2</v>
      </c>
      <c r="M137" s="287">
        <v>0.2</v>
      </c>
    </row>
    <row r="138" spans="1:18" x14ac:dyDescent="0.2">
      <c r="A138" s="32"/>
      <c r="B138" s="265"/>
      <c r="C138" s="273" t="s">
        <v>442</v>
      </c>
      <c r="D138" s="44"/>
      <c r="E138" s="36"/>
      <c r="F138" s="36">
        <v>2</v>
      </c>
      <c r="G138" s="36">
        <v>0.4</v>
      </c>
      <c r="H138" s="36">
        <v>0.05</v>
      </c>
      <c r="I138" s="36">
        <f t="shared" si="1"/>
        <v>0.04</v>
      </c>
      <c r="K138" s="283"/>
      <c r="L138" s="284">
        <v>0.8</v>
      </c>
      <c r="M138" s="284">
        <v>0.8</v>
      </c>
      <c r="N138" s="284">
        <v>0.2</v>
      </c>
      <c r="O138" s="284">
        <v>0.3</v>
      </c>
      <c r="P138" s="284">
        <v>0.15</v>
      </c>
      <c r="Q138" s="284">
        <v>0.25</v>
      </c>
      <c r="R138" s="284">
        <v>1.5</v>
      </c>
    </row>
    <row r="139" spans="1:18" x14ac:dyDescent="0.2">
      <c r="A139" s="32"/>
      <c r="B139" s="265"/>
      <c r="C139" s="273" t="s">
        <v>443</v>
      </c>
      <c r="D139" s="44"/>
      <c r="E139" s="36"/>
      <c r="F139" s="36">
        <v>24.85</v>
      </c>
      <c r="G139" s="36">
        <v>0.4</v>
      </c>
      <c r="H139" s="36">
        <v>0.05</v>
      </c>
      <c r="I139" s="36">
        <f t="shared" si="1"/>
        <v>0.5</v>
      </c>
      <c r="L139" s="285"/>
    </row>
    <row r="140" spans="1:18" x14ac:dyDescent="0.2">
      <c r="A140" s="32"/>
      <c r="B140" s="265"/>
      <c r="C140" s="273" t="s">
        <v>444</v>
      </c>
      <c r="D140" s="44"/>
      <c r="E140" s="36"/>
      <c r="F140" s="36">
        <v>5.15</v>
      </c>
      <c r="G140" s="36">
        <v>0.4</v>
      </c>
      <c r="H140" s="36">
        <v>0.05</v>
      </c>
      <c r="I140" s="36">
        <f t="shared" si="1"/>
        <v>0.1</v>
      </c>
      <c r="L140" s="286" t="s">
        <v>81</v>
      </c>
      <c r="M140" s="286" t="s">
        <v>103</v>
      </c>
    </row>
    <row r="141" spans="1:18" x14ac:dyDescent="0.2">
      <c r="A141" s="32"/>
      <c r="B141" s="265"/>
      <c r="C141" s="273"/>
      <c r="D141" s="44"/>
      <c r="E141" s="36"/>
      <c r="F141" s="36" t="s">
        <v>837</v>
      </c>
      <c r="G141" s="36"/>
      <c r="H141" s="36"/>
      <c r="I141" s="36"/>
      <c r="L141" s="322"/>
      <c r="M141" s="322"/>
    </row>
    <row r="142" spans="1:18" x14ac:dyDescent="0.2">
      <c r="A142" s="32"/>
      <c r="B142" s="265"/>
      <c r="C142" s="273" t="s">
        <v>840</v>
      </c>
      <c r="D142" s="44"/>
      <c r="E142" s="36">
        <v>-1</v>
      </c>
      <c r="F142" s="36">
        <v>5.95</v>
      </c>
      <c r="G142" s="36"/>
      <c r="H142" s="36"/>
      <c r="I142" s="36">
        <f>ROUND(PRODUCT(E142:H142),2)</f>
        <v>-5.95</v>
      </c>
      <c r="L142" s="322"/>
      <c r="M142" s="322"/>
    </row>
    <row r="143" spans="1:18" x14ac:dyDescent="0.2">
      <c r="A143" s="32"/>
      <c r="B143" s="265"/>
      <c r="C143" s="45" t="str">
        <f>"Total item "&amp;A105</f>
        <v>Total item 4.1</v>
      </c>
      <c r="D143" s="44"/>
      <c r="E143" s="36"/>
      <c r="F143" s="36"/>
      <c r="G143" s="36"/>
      <c r="H143" s="36"/>
      <c r="I143" s="19">
        <f>SUM(I106:I142)</f>
        <v>10.619999999999994</v>
      </c>
    </row>
    <row r="144" spans="1:18" x14ac:dyDescent="0.2">
      <c r="A144" s="288"/>
      <c r="B144" s="289"/>
      <c r="C144" s="290"/>
      <c r="D144" s="291"/>
      <c r="E144" s="286"/>
      <c r="F144" s="286"/>
      <c r="G144" s="286"/>
      <c r="H144" s="286"/>
      <c r="I144" s="286"/>
    </row>
    <row r="145" spans="1:31" x14ac:dyDescent="0.2">
      <c r="A145" s="288"/>
      <c r="B145" s="289"/>
      <c r="C145" s="290"/>
      <c r="D145" s="291"/>
      <c r="E145" s="286"/>
      <c r="F145" s="286"/>
      <c r="G145" s="286"/>
      <c r="H145" s="286"/>
      <c r="I145" s="286"/>
    </row>
    <row r="146" spans="1:31" s="10" customFormat="1" ht="33.75" x14ac:dyDescent="0.2">
      <c r="A146" s="268" t="s">
        <v>14</v>
      </c>
      <c r="B146" s="269" t="s">
        <v>59</v>
      </c>
      <c r="C146" s="270" t="s">
        <v>575</v>
      </c>
      <c r="D146" s="271" t="s">
        <v>112</v>
      </c>
      <c r="E146" s="292" t="s">
        <v>369</v>
      </c>
      <c r="F146" s="292" t="s">
        <v>370</v>
      </c>
      <c r="G146" s="292" t="s">
        <v>371</v>
      </c>
      <c r="H146" s="19"/>
      <c r="I146" s="19"/>
    </row>
    <row r="147" spans="1:31" s="10" customFormat="1" x14ac:dyDescent="0.2">
      <c r="A147" s="32"/>
      <c r="B147" s="265"/>
      <c r="C147" s="45" t="s">
        <v>365</v>
      </c>
      <c r="D147" s="33"/>
      <c r="E147" s="267"/>
      <c r="F147" s="267"/>
      <c r="G147" s="267"/>
      <c r="H147" s="267"/>
      <c r="I147" s="267"/>
    </row>
    <row r="148" spans="1:31" s="10" customFormat="1" ht="33.75" x14ac:dyDescent="0.2">
      <c r="A148" s="32"/>
      <c r="B148" s="265"/>
      <c r="C148" s="273" t="s">
        <v>446</v>
      </c>
      <c r="D148" s="44"/>
      <c r="E148" s="36">
        <v>33</v>
      </c>
      <c r="F148" s="36">
        <v>4</v>
      </c>
      <c r="G148" s="36">
        <v>0.9</v>
      </c>
      <c r="H148" s="36">
        <v>0.2</v>
      </c>
      <c r="I148" s="36">
        <f>ROUND(PRODUCT(E148:H148),2)</f>
        <v>23.76</v>
      </c>
    </row>
    <row r="149" spans="1:31" s="10" customFormat="1" ht="17.25" customHeight="1" x14ac:dyDescent="0.2">
      <c r="A149" s="32"/>
      <c r="B149" s="265"/>
      <c r="C149" s="273" t="s">
        <v>581</v>
      </c>
      <c r="D149" s="44"/>
      <c r="E149" s="36">
        <v>11</v>
      </c>
      <c r="F149" s="36">
        <v>4</v>
      </c>
      <c r="G149" s="36">
        <v>0.7</v>
      </c>
      <c r="H149" s="36">
        <v>0.2</v>
      </c>
      <c r="I149" s="36">
        <f>ROUND(PRODUCT(E149:H149),2)</f>
        <v>6.16</v>
      </c>
    </row>
    <row r="150" spans="1:31" s="10" customFormat="1" ht="45" x14ac:dyDescent="0.2">
      <c r="A150" s="32"/>
      <c r="B150" s="265"/>
      <c r="C150" s="273" t="s">
        <v>447</v>
      </c>
      <c r="D150" s="44"/>
      <c r="E150" s="36">
        <v>44</v>
      </c>
      <c r="F150" s="36">
        <v>4</v>
      </c>
      <c r="G150" s="36">
        <v>1</v>
      </c>
      <c r="H150" s="36">
        <v>0.2</v>
      </c>
      <c r="I150" s="36">
        <f>ROUND(PRODUCT(E150:H150),2)</f>
        <v>35.200000000000003</v>
      </c>
    </row>
    <row r="151" spans="1:31" s="10" customFormat="1" x14ac:dyDescent="0.2">
      <c r="A151" s="32"/>
      <c r="B151" s="265"/>
      <c r="C151" s="273"/>
      <c r="D151" s="44"/>
      <c r="E151" s="36"/>
      <c r="F151" s="36" t="s">
        <v>201</v>
      </c>
      <c r="G151" s="36"/>
      <c r="H151" s="36"/>
      <c r="I151" s="36"/>
    </row>
    <row r="152" spans="1:31" s="10" customFormat="1" x14ac:dyDescent="0.2">
      <c r="A152" s="32"/>
      <c r="B152" s="265"/>
      <c r="C152" s="273" t="s">
        <v>841</v>
      </c>
      <c r="D152" s="44"/>
      <c r="E152" s="36">
        <v>-1</v>
      </c>
      <c r="F152" s="36">
        <v>24.64</v>
      </c>
      <c r="G152" s="36"/>
      <c r="H152" s="36"/>
      <c r="I152" s="36">
        <f>ROUND(PRODUCT(E152:H152),2)</f>
        <v>-24.64</v>
      </c>
    </row>
    <row r="153" spans="1:31" s="10" customFormat="1" x14ac:dyDescent="0.2">
      <c r="A153" s="32"/>
      <c r="B153" s="265"/>
      <c r="C153" s="276" t="str">
        <f>"Total item "&amp;A146</f>
        <v>Total item 4.2</v>
      </c>
      <c r="D153" s="277"/>
      <c r="E153" s="278"/>
      <c r="F153" s="278"/>
      <c r="G153" s="278"/>
      <c r="H153" s="278"/>
      <c r="I153" s="19">
        <f>SUM(I148:I152)</f>
        <v>40.480000000000004</v>
      </c>
    </row>
    <row r="154" spans="1:31" s="10" customFormat="1" x14ac:dyDescent="0.2">
      <c r="A154" s="32"/>
      <c r="B154" s="265"/>
      <c r="C154" s="266"/>
      <c r="D154" s="33"/>
      <c r="E154" s="267"/>
      <c r="F154" s="267"/>
      <c r="G154" s="267"/>
      <c r="H154" s="267"/>
      <c r="I154" s="267"/>
    </row>
    <row r="155" spans="1:31" s="31" customFormat="1" ht="47.25" customHeight="1" x14ac:dyDescent="0.2">
      <c r="A155" s="268" t="s">
        <v>807</v>
      </c>
      <c r="B155" s="269" t="s">
        <v>59</v>
      </c>
      <c r="C155" s="270" t="s">
        <v>383</v>
      </c>
      <c r="D155" s="271" t="s">
        <v>112</v>
      </c>
      <c r="E155" s="292"/>
      <c r="F155" s="292"/>
      <c r="G155" s="292"/>
      <c r="H155" s="19"/>
      <c r="I155" s="19"/>
      <c r="AE155" s="31" t="s">
        <v>127</v>
      </c>
    </row>
    <row r="156" spans="1:31" x14ac:dyDescent="0.2">
      <c r="A156" s="288"/>
      <c r="B156" s="289"/>
      <c r="C156" s="45" t="s">
        <v>448</v>
      </c>
      <c r="D156" s="44"/>
      <c r="E156" s="36"/>
      <c r="F156" s="36" t="s">
        <v>5</v>
      </c>
      <c r="G156" s="36" t="s">
        <v>449</v>
      </c>
      <c r="H156" s="287"/>
      <c r="I156" s="287"/>
      <c r="K156" s="283"/>
      <c r="L156" s="284"/>
      <c r="M156" s="284"/>
      <c r="N156" s="284"/>
      <c r="O156" s="284"/>
      <c r="P156" s="284"/>
      <c r="Q156" s="284"/>
      <c r="R156" s="284"/>
    </row>
    <row r="157" spans="1:31" x14ac:dyDescent="0.2">
      <c r="A157" s="288"/>
      <c r="B157" s="289"/>
      <c r="C157" s="273" t="s">
        <v>415</v>
      </c>
      <c r="D157" s="44"/>
      <c r="E157" s="36"/>
      <c r="F157" s="36">
        <f>5.13+1.77+3.35</f>
        <v>10.25</v>
      </c>
      <c r="G157" s="36">
        <v>0.8</v>
      </c>
      <c r="H157" s="287"/>
      <c r="I157" s="36">
        <f t="shared" ref="I157:I186" si="2">ROUND(PRODUCT(E157:H157),2)</f>
        <v>8.1999999999999993</v>
      </c>
      <c r="K157" s="283"/>
      <c r="L157" s="284"/>
      <c r="M157" s="284"/>
      <c r="N157" s="284"/>
      <c r="O157" s="284"/>
      <c r="P157" s="284"/>
      <c r="Q157" s="284"/>
      <c r="R157" s="284"/>
    </row>
    <row r="158" spans="1:31" x14ac:dyDescent="0.2">
      <c r="A158" s="288"/>
      <c r="B158" s="289"/>
      <c r="C158" s="273" t="s">
        <v>416</v>
      </c>
      <c r="D158" s="44"/>
      <c r="E158" s="36"/>
      <c r="F158" s="36">
        <f>5.13+1.77+3.35</f>
        <v>10.25</v>
      </c>
      <c r="G158" s="36">
        <v>0.8</v>
      </c>
      <c r="H158" s="287"/>
      <c r="I158" s="36">
        <f t="shared" si="2"/>
        <v>8.1999999999999993</v>
      </c>
      <c r="K158" s="283"/>
      <c r="L158" s="284"/>
      <c r="M158" s="284"/>
      <c r="N158" s="284"/>
      <c r="O158" s="284"/>
      <c r="P158" s="284"/>
      <c r="Q158" s="284"/>
      <c r="R158" s="284"/>
    </row>
    <row r="159" spans="1:31" x14ac:dyDescent="0.2">
      <c r="A159" s="288"/>
      <c r="B159" s="289"/>
      <c r="C159" s="273" t="s">
        <v>417</v>
      </c>
      <c r="D159" s="44"/>
      <c r="E159" s="36"/>
      <c r="F159" s="36">
        <v>46.42</v>
      </c>
      <c r="G159" s="36">
        <v>0.8</v>
      </c>
      <c r="H159" s="287"/>
      <c r="I159" s="36">
        <f t="shared" si="2"/>
        <v>37.14</v>
      </c>
      <c r="K159" s="283"/>
      <c r="L159" s="284"/>
      <c r="M159" s="284"/>
      <c r="N159" s="284"/>
      <c r="O159" s="284"/>
      <c r="P159" s="284"/>
      <c r="Q159" s="284"/>
      <c r="R159" s="284"/>
    </row>
    <row r="160" spans="1:31" x14ac:dyDescent="0.2">
      <c r="A160" s="288"/>
      <c r="B160" s="289"/>
      <c r="C160" s="273" t="s">
        <v>418</v>
      </c>
      <c r="D160" s="44"/>
      <c r="E160" s="36"/>
      <c r="F160" s="36">
        <v>46.42</v>
      </c>
      <c r="G160" s="36">
        <v>0.8</v>
      </c>
      <c r="H160" s="287"/>
      <c r="I160" s="36">
        <f t="shared" si="2"/>
        <v>37.14</v>
      </c>
      <c r="K160" s="283"/>
      <c r="L160" s="284"/>
      <c r="M160" s="284"/>
      <c r="N160" s="284"/>
      <c r="O160" s="284"/>
      <c r="P160" s="284"/>
      <c r="Q160" s="284"/>
      <c r="R160" s="284"/>
    </row>
    <row r="161" spans="1:18" x14ac:dyDescent="0.2">
      <c r="A161" s="288"/>
      <c r="B161" s="289"/>
      <c r="C161" s="273" t="s">
        <v>419</v>
      </c>
      <c r="D161" s="44"/>
      <c r="E161" s="36"/>
      <c r="F161" s="36">
        <v>46.42</v>
      </c>
      <c r="G161" s="36">
        <v>0.8</v>
      </c>
      <c r="H161" s="287"/>
      <c r="I161" s="36">
        <f t="shared" si="2"/>
        <v>37.14</v>
      </c>
      <c r="K161" s="283"/>
      <c r="L161" s="284"/>
      <c r="M161" s="284"/>
      <c r="N161" s="284"/>
      <c r="O161" s="284"/>
      <c r="P161" s="284"/>
      <c r="Q161" s="284"/>
      <c r="R161" s="284"/>
    </row>
    <row r="162" spans="1:18" x14ac:dyDescent="0.2">
      <c r="A162" s="288"/>
      <c r="B162" s="289"/>
      <c r="C162" s="273" t="s">
        <v>420</v>
      </c>
      <c r="D162" s="44"/>
      <c r="E162" s="36"/>
      <c r="F162" s="36">
        <v>46.42</v>
      </c>
      <c r="G162" s="36">
        <v>0.8</v>
      </c>
      <c r="H162" s="287"/>
      <c r="I162" s="36">
        <f t="shared" si="2"/>
        <v>37.14</v>
      </c>
      <c r="K162" s="283"/>
      <c r="L162" s="284"/>
      <c r="M162" s="284"/>
      <c r="N162" s="284"/>
      <c r="O162" s="284"/>
      <c r="P162" s="284"/>
      <c r="Q162" s="284"/>
      <c r="R162" s="284"/>
    </row>
    <row r="163" spans="1:18" x14ac:dyDescent="0.2">
      <c r="A163" s="288"/>
      <c r="B163" s="289"/>
      <c r="C163" s="273" t="s">
        <v>421</v>
      </c>
      <c r="D163" s="44"/>
      <c r="E163" s="36"/>
      <c r="F163" s="36">
        <v>46.42</v>
      </c>
      <c r="G163" s="36">
        <v>0.8</v>
      </c>
      <c r="H163" s="287"/>
      <c r="I163" s="36">
        <f t="shared" si="2"/>
        <v>37.14</v>
      </c>
      <c r="K163" s="283"/>
      <c r="L163" s="284"/>
      <c r="M163" s="284"/>
      <c r="N163" s="284"/>
      <c r="O163" s="284"/>
      <c r="P163" s="284"/>
      <c r="Q163" s="284"/>
      <c r="R163" s="284"/>
    </row>
    <row r="164" spans="1:18" x14ac:dyDescent="0.2">
      <c r="A164" s="288"/>
      <c r="B164" s="289"/>
      <c r="C164" s="273" t="s">
        <v>422</v>
      </c>
      <c r="D164" s="44"/>
      <c r="E164" s="36"/>
      <c r="F164" s="36">
        <v>39.369999999999997</v>
      </c>
      <c r="G164" s="36">
        <v>0.8</v>
      </c>
      <c r="H164" s="287"/>
      <c r="I164" s="36">
        <f t="shared" si="2"/>
        <v>31.5</v>
      </c>
      <c r="K164" s="283"/>
      <c r="L164" s="284"/>
      <c r="M164" s="284"/>
      <c r="N164" s="284"/>
      <c r="O164" s="284"/>
      <c r="P164" s="284"/>
      <c r="Q164" s="284"/>
      <c r="R164" s="284"/>
    </row>
    <row r="165" spans="1:18" x14ac:dyDescent="0.2">
      <c r="A165" s="288"/>
      <c r="B165" s="289"/>
      <c r="C165" s="273" t="s">
        <v>423</v>
      </c>
      <c r="D165" s="44"/>
      <c r="E165" s="36"/>
      <c r="F165" s="36">
        <v>39.369999999999997</v>
      </c>
      <c r="G165" s="36">
        <v>0.8</v>
      </c>
      <c r="H165" s="287"/>
      <c r="I165" s="36">
        <f t="shared" si="2"/>
        <v>31.5</v>
      </c>
      <c r="K165" s="283"/>
      <c r="L165" s="284"/>
      <c r="M165" s="284"/>
      <c r="N165" s="284"/>
      <c r="O165" s="284"/>
      <c r="P165" s="284"/>
      <c r="Q165" s="284"/>
      <c r="R165" s="284"/>
    </row>
    <row r="166" spans="1:18" x14ac:dyDescent="0.2">
      <c r="A166" s="288"/>
      <c r="B166" s="289"/>
      <c r="C166" s="273" t="s">
        <v>424</v>
      </c>
      <c r="D166" s="44"/>
      <c r="E166" s="36"/>
      <c r="F166" s="36">
        <v>14.24</v>
      </c>
      <c r="G166" s="36">
        <v>0.8</v>
      </c>
      <c r="H166" s="287"/>
      <c r="I166" s="36">
        <f t="shared" si="2"/>
        <v>11.39</v>
      </c>
      <c r="K166" s="283"/>
      <c r="L166" s="284"/>
      <c r="M166" s="284"/>
      <c r="N166" s="284"/>
      <c r="O166" s="284"/>
      <c r="P166" s="284"/>
      <c r="Q166" s="284"/>
      <c r="R166" s="284"/>
    </row>
    <row r="167" spans="1:18" x14ac:dyDescent="0.2">
      <c r="A167" s="288"/>
      <c r="B167" s="289"/>
      <c r="C167" s="273" t="s">
        <v>425</v>
      </c>
      <c r="D167" s="44"/>
      <c r="E167" s="36"/>
      <c r="F167" s="36">
        <v>1.9</v>
      </c>
      <c r="G167" s="36">
        <v>0.7</v>
      </c>
      <c r="H167" s="287"/>
      <c r="I167" s="36">
        <f t="shared" si="2"/>
        <v>1.33</v>
      </c>
      <c r="K167" s="283"/>
      <c r="L167" s="284"/>
      <c r="M167" s="284"/>
      <c r="N167" s="284"/>
      <c r="O167" s="284"/>
      <c r="P167" s="284"/>
      <c r="Q167" s="284"/>
      <c r="R167" s="284"/>
    </row>
    <row r="168" spans="1:18" x14ac:dyDescent="0.2">
      <c r="A168" s="288"/>
      <c r="B168" s="289"/>
      <c r="C168" s="273" t="s">
        <v>426</v>
      </c>
      <c r="D168" s="44"/>
      <c r="E168" s="36"/>
      <c r="F168" s="36">
        <v>24.85</v>
      </c>
      <c r="G168" s="36">
        <v>0.8</v>
      </c>
      <c r="H168" s="287"/>
      <c r="I168" s="36">
        <f t="shared" si="2"/>
        <v>19.88</v>
      </c>
      <c r="K168" s="283"/>
      <c r="L168" s="284"/>
      <c r="M168" s="284"/>
      <c r="N168" s="284"/>
      <c r="O168" s="284"/>
      <c r="P168" s="284"/>
      <c r="Q168" s="284"/>
      <c r="R168" s="284"/>
    </row>
    <row r="169" spans="1:18" x14ac:dyDescent="0.2">
      <c r="A169" s="288"/>
      <c r="B169" s="289"/>
      <c r="C169" s="273" t="s">
        <v>427</v>
      </c>
      <c r="D169" s="44"/>
      <c r="E169" s="36"/>
      <c r="F169" s="36">
        <v>1.9</v>
      </c>
      <c r="G169" s="36">
        <v>0.7</v>
      </c>
      <c r="H169" s="287"/>
      <c r="I169" s="36">
        <f t="shared" si="2"/>
        <v>1.33</v>
      </c>
      <c r="K169" s="283"/>
      <c r="L169" s="284"/>
      <c r="M169" s="284"/>
      <c r="N169" s="284"/>
      <c r="O169" s="284"/>
      <c r="P169" s="284"/>
      <c r="Q169" s="284"/>
      <c r="R169" s="284"/>
    </row>
    <row r="170" spans="1:18" x14ac:dyDescent="0.2">
      <c r="A170" s="288"/>
      <c r="B170" s="289"/>
      <c r="C170" s="273" t="s">
        <v>428</v>
      </c>
      <c r="D170" s="44"/>
      <c r="E170" s="36"/>
      <c r="F170" s="36">
        <v>24.85</v>
      </c>
      <c r="G170" s="36">
        <v>0.8</v>
      </c>
      <c r="H170" s="287"/>
      <c r="I170" s="36">
        <f t="shared" si="2"/>
        <v>19.88</v>
      </c>
      <c r="K170" s="283"/>
      <c r="L170" s="284"/>
      <c r="M170" s="284"/>
      <c r="N170" s="284"/>
      <c r="O170" s="284"/>
      <c r="P170" s="284"/>
      <c r="Q170" s="284"/>
      <c r="R170" s="284"/>
    </row>
    <row r="171" spans="1:18" x14ac:dyDescent="0.2">
      <c r="A171" s="288"/>
      <c r="B171" s="289"/>
      <c r="C171" s="273" t="s">
        <v>429</v>
      </c>
      <c r="D171" s="44"/>
      <c r="E171" s="36"/>
      <c r="F171" s="36">
        <v>1.9</v>
      </c>
      <c r="G171" s="36">
        <v>0.7</v>
      </c>
      <c r="H171" s="287"/>
      <c r="I171" s="36">
        <f t="shared" si="2"/>
        <v>1.33</v>
      </c>
      <c r="K171" s="283"/>
      <c r="L171" s="284"/>
      <c r="M171" s="284"/>
      <c r="N171" s="284"/>
      <c r="O171" s="284"/>
      <c r="P171" s="284"/>
      <c r="Q171" s="284"/>
      <c r="R171" s="284"/>
    </row>
    <row r="172" spans="1:18" x14ac:dyDescent="0.2">
      <c r="A172" s="288"/>
      <c r="B172" s="289"/>
      <c r="C172" s="273" t="s">
        <v>430</v>
      </c>
      <c r="D172" s="44"/>
      <c r="E172" s="36"/>
      <c r="F172" s="36">
        <v>24.85</v>
      </c>
      <c r="G172" s="36">
        <v>0.8</v>
      </c>
      <c r="H172" s="287"/>
      <c r="I172" s="36">
        <f t="shared" si="2"/>
        <v>19.88</v>
      </c>
      <c r="K172" s="283"/>
      <c r="L172" s="284"/>
      <c r="M172" s="284"/>
      <c r="N172" s="284"/>
      <c r="O172" s="284"/>
      <c r="P172" s="284"/>
      <c r="Q172" s="284"/>
      <c r="R172" s="284"/>
    </row>
    <row r="173" spans="1:18" x14ac:dyDescent="0.2">
      <c r="A173" s="288"/>
      <c r="B173" s="289"/>
      <c r="C173" s="273" t="s">
        <v>431</v>
      </c>
      <c r="D173" s="44"/>
      <c r="E173" s="36"/>
      <c r="F173" s="36">
        <v>22.76</v>
      </c>
      <c r="G173" s="36">
        <v>0.8</v>
      </c>
      <c r="H173" s="287"/>
      <c r="I173" s="36">
        <f t="shared" si="2"/>
        <v>18.21</v>
      </c>
      <c r="K173" s="283"/>
      <c r="L173" s="284"/>
      <c r="M173" s="284"/>
      <c r="N173" s="284"/>
      <c r="O173" s="284"/>
      <c r="P173" s="284"/>
      <c r="Q173" s="284"/>
      <c r="R173" s="284"/>
    </row>
    <row r="174" spans="1:18" x14ac:dyDescent="0.2">
      <c r="A174" s="288"/>
      <c r="B174" s="289"/>
      <c r="C174" s="273" t="s">
        <v>432</v>
      </c>
      <c r="D174" s="44"/>
      <c r="E174" s="36"/>
      <c r="F174" s="36">
        <v>1.9</v>
      </c>
      <c r="G174" s="36">
        <v>0.7</v>
      </c>
      <c r="H174" s="287"/>
      <c r="I174" s="36">
        <f t="shared" si="2"/>
        <v>1.33</v>
      </c>
      <c r="K174" s="283"/>
      <c r="L174" s="284"/>
      <c r="M174" s="284"/>
      <c r="N174" s="284"/>
      <c r="O174" s="284"/>
      <c r="P174" s="284"/>
      <c r="Q174" s="284"/>
      <c r="R174" s="284"/>
    </row>
    <row r="175" spans="1:18" x14ac:dyDescent="0.2">
      <c r="A175" s="288"/>
      <c r="B175" s="289"/>
      <c r="C175" s="273" t="s">
        <v>433</v>
      </c>
      <c r="D175" s="44"/>
      <c r="E175" s="36"/>
      <c r="F175" s="36">
        <v>2.2000000000000002</v>
      </c>
      <c r="G175" s="36">
        <v>0.7</v>
      </c>
      <c r="H175" s="287"/>
      <c r="I175" s="36">
        <f t="shared" si="2"/>
        <v>1.54</v>
      </c>
      <c r="K175" s="283"/>
      <c r="L175" s="284"/>
      <c r="M175" s="284"/>
      <c r="N175" s="284"/>
      <c r="O175" s="284"/>
      <c r="P175" s="284"/>
      <c r="Q175" s="284"/>
      <c r="R175" s="284"/>
    </row>
    <row r="176" spans="1:18" x14ac:dyDescent="0.2">
      <c r="A176" s="288"/>
      <c r="B176" s="289"/>
      <c r="C176" s="273" t="s">
        <v>434</v>
      </c>
      <c r="D176" s="44"/>
      <c r="E176" s="36"/>
      <c r="F176" s="36">
        <v>22.76</v>
      </c>
      <c r="G176" s="36">
        <v>0.8</v>
      </c>
      <c r="H176" s="287"/>
      <c r="I176" s="36">
        <f t="shared" si="2"/>
        <v>18.21</v>
      </c>
      <c r="K176" s="283"/>
      <c r="L176" s="284"/>
      <c r="M176" s="284"/>
      <c r="N176" s="284"/>
      <c r="O176" s="284"/>
      <c r="P176" s="284"/>
      <c r="Q176" s="284"/>
      <c r="R176" s="284"/>
    </row>
    <row r="177" spans="1:31" x14ac:dyDescent="0.2">
      <c r="A177" s="288"/>
      <c r="B177" s="289"/>
      <c r="C177" s="273" t="s">
        <v>435</v>
      </c>
      <c r="D177" s="44"/>
      <c r="E177" s="36"/>
      <c r="F177" s="36">
        <v>1.9</v>
      </c>
      <c r="G177" s="36">
        <v>0.7</v>
      </c>
      <c r="H177" s="287"/>
      <c r="I177" s="36">
        <f t="shared" si="2"/>
        <v>1.33</v>
      </c>
      <c r="K177" s="283"/>
      <c r="L177" s="284"/>
      <c r="M177" s="284"/>
      <c r="N177" s="284"/>
      <c r="O177" s="284"/>
      <c r="P177" s="284"/>
      <c r="Q177" s="284"/>
      <c r="R177" s="284"/>
    </row>
    <row r="178" spans="1:31" x14ac:dyDescent="0.2">
      <c r="A178" s="288"/>
      <c r="B178" s="289"/>
      <c r="C178" s="273" t="s">
        <v>436</v>
      </c>
      <c r="D178" s="44"/>
      <c r="E178" s="36"/>
      <c r="F178" s="36">
        <v>2.2000000000000002</v>
      </c>
      <c r="G178" s="36">
        <v>0.7</v>
      </c>
      <c r="H178" s="287"/>
      <c r="I178" s="36">
        <f t="shared" si="2"/>
        <v>1.54</v>
      </c>
      <c r="K178" s="283"/>
      <c r="L178" s="284"/>
      <c r="M178" s="284"/>
      <c r="N178" s="284"/>
      <c r="O178" s="284"/>
      <c r="P178" s="284"/>
      <c r="Q178" s="284"/>
      <c r="R178" s="284"/>
    </row>
    <row r="179" spans="1:31" x14ac:dyDescent="0.2">
      <c r="A179" s="288"/>
      <c r="B179" s="289"/>
      <c r="C179" s="273" t="s">
        <v>437</v>
      </c>
      <c r="D179" s="44"/>
      <c r="E179" s="36"/>
      <c r="F179" s="36">
        <v>5.15</v>
      </c>
      <c r="G179" s="36">
        <v>0.8</v>
      </c>
      <c r="H179" s="287"/>
      <c r="I179" s="36">
        <f t="shared" si="2"/>
        <v>4.12</v>
      </c>
      <c r="K179" s="283"/>
      <c r="L179" s="284"/>
      <c r="M179" s="284"/>
      <c r="N179" s="284"/>
      <c r="O179" s="284"/>
      <c r="P179" s="284"/>
      <c r="Q179" s="284"/>
      <c r="R179" s="284"/>
    </row>
    <row r="180" spans="1:31" x14ac:dyDescent="0.2">
      <c r="A180" s="288"/>
      <c r="B180" s="289"/>
      <c r="C180" s="273" t="s">
        <v>438</v>
      </c>
      <c r="D180" s="44"/>
      <c r="E180" s="36"/>
      <c r="F180" s="36">
        <v>2</v>
      </c>
      <c r="G180" s="36">
        <v>0.8</v>
      </c>
      <c r="H180" s="287"/>
      <c r="I180" s="36">
        <f t="shared" si="2"/>
        <v>1.6</v>
      </c>
      <c r="K180" s="283"/>
      <c r="L180" s="284"/>
      <c r="M180" s="284"/>
      <c r="N180" s="284"/>
      <c r="O180" s="284"/>
      <c r="P180" s="284"/>
      <c r="Q180" s="284"/>
      <c r="R180" s="284"/>
    </row>
    <row r="181" spans="1:31" x14ac:dyDescent="0.2">
      <c r="A181" s="288"/>
      <c r="B181" s="289"/>
      <c r="C181" s="273" t="s">
        <v>439</v>
      </c>
      <c r="D181" s="44"/>
      <c r="E181" s="36"/>
      <c r="F181" s="36">
        <v>22.76</v>
      </c>
      <c r="G181" s="36">
        <v>0.8</v>
      </c>
      <c r="H181" s="287"/>
      <c r="I181" s="36">
        <f t="shared" si="2"/>
        <v>18.21</v>
      </c>
      <c r="K181" s="283"/>
      <c r="L181" s="284"/>
      <c r="M181" s="284"/>
      <c r="N181" s="284"/>
      <c r="O181" s="284"/>
      <c r="P181" s="284"/>
      <c r="Q181" s="284"/>
      <c r="R181" s="284"/>
    </row>
    <row r="182" spans="1:31" x14ac:dyDescent="0.2">
      <c r="A182" s="288"/>
      <c r="B182" s="289"/>
      <c r="C182" s="273" t="s">
        <v>440</v>
      </c>
      <c r="D182" s="44"/>
      <c r="E182" s="36"/>
      <c r="F182" s="36">
        <v>5.15</v>
      </c>
      <c r="G182" s="36">
        <v>0.8</v>
      </c>
      <c r="H182" s="287"/>
      <c r="I182" s="36">
        <f t="shared" si="2"/>
        <v>4.12</v>
      </c>
      <c r="K182" s="283"/>
      <c r="L182" s="284"/>
      <c r="M182" s="284"/>
      <c r="N182" s="284"/>
      <c r="O182" s="284"/>
      <c r="P182" s="284"/>
      <c r="Q182" s="284"/>
      <c r="R182" s="284"/>
    </row>
    <row r="183" spans="1:31" x14ac:dyDescent="0.2">
      <c r="A183" s="288"/>
      <c r="B183" s="289"/>
      <c r="C183" s="273" t="s">
        <v>441</v>
      </c>
      <c r="D183" s="44"/>
      <c r="E183" s="36"/>
      <c r="F183" s="36">
        <v>1.9</v>
      </c>
      <c r="G183" s="36">
        <v>0.7</v>
      </c>
      <c r="H183" s="287"/>
      <c r="I183" s="36">
        <f t="shared" si="2"/>
        <v>1.33</v>
      </c>
      <c r="K183" s="283"/>
      <c r="L183" s="284"/>
      <c r="M183" s="284"/>
      <c r="N183" s="284"/>
      <c r="O183" s="284"/>
      <c r="P183" s="284"/>
      <c r="Q183" s="284"/>
      <c r="R183" s="284"/>
    </row>
    <row r="184" spans="1:31" x14ac:dyDescent="0.2">
      <c r="A184" s="288"/>
      <c r="B184" s="289"/>
      <c r="C184" s="273" t="s">
        <v>442</v>
      </c>
      <c r="D184" s="44"/>
      <c r="E184" s="36"/>
      <c r="F184" s="36">
        <v>2</v>
      </c>
      <c r="G184" s="36">
        <v>0.8</v>
      </c>
      <c r="H184" s="287"/>
      <c r="I184" s="36">
        <f t="shared" si="2"/>
        <v>1.6</v>
      </c>
      <c r="K184" s="283"/>
      <c r="L184" s="284"/>
      <c r="M184" s="284"/>
      <c r="N184" s="284"/>
      <c r="O184" s="284"/>
      <c r="P184" s="284"/>
      <c r="Q184" s="284"/>
      <c r="R184" s="284"/>
    </row>
    <row r="185" spans="1:31" x14ac:dyDescent="0.2">
      <c r="A185" s="288"/>
      <c r="B185" s="289"/>
      <c r="C185" s="273" t="s">
        <v>443</v>
      </c>
      <c r="D185" s="44"/>
      <c r="E185" s="36"/>
      <c r="F185" s="36">
        <v>24.85</v>
      </c>
      <c r="G185" s="36">
        <v>0.8</v>
      </c>
      <c r="H185" s="287"/>
      <c r="I185" s="36">
        <f t="shared" si="2"/>
        <v>19.88</v>
      </c>
      <c r="K185" s="283"/>
      <c r="L185" s="284"/>
      <c r="M185" s="284"/>
      <c r="N185" s="284"/>
      <c r="O185" s="284"/>
      <c r="P185" s="284"/>
      <c r="Q185" s="284"/>
      <c r="R185" s="284"/>
    </row>
    <row r="186" spans="1:31" x14ac:dyDescent="0.2">
      <c r="A186" s="288"/>
      <c r="B186" s="289"/>
      <c r="C186" s="273" t="s">
        <v>444</v>
      </c>
      <c r="D186" s="44"/>
      <c r="E186" s="36"/>
      <c r="F186" s="36">
        <v>5.15</v>
      </c>
      <c r="G186" s="36">
        <v>0.8</v>
      </c>
      <c r="H186" s="287"/>
      <c r="I186" s="36">
        <f t="shared" si="2"/>
        <v>4.12</v>
      </c>
      <c r="K186" s="283"/>
      <c r="L186" s="284"/>
      <c r="M186" s="284"/>
      <c r="N186" s="284"/>
      <c r="O186" s="284"/>
      <c r="P186" s="284"/>
      <c r="Q186" s="284"/>
      <c r="R186" s="284"/>
    </row>
    <row r="187" spans="1:31" x14ac:dyDescent="0.2">
      <c r="A187" s="288"/>
      <c r="B187" s="289"/>
      <c r="C187" s="273"/>
      <c r="D187" s="44"/>
      <c r="E187" s="36"/>
      <c r="F187" s="36" t="s">
        <v>201</v>
      </c>
      <c r="G187" s="36"/>
      <c r="H187" s="36"/>
      <c r="I187" s="36"/>
      <c r="K187" s="283"/>
      <c r="L187" s="323"/>
      <c r="M187" s="323"/>
      <c r="N187" s="323"/>
      <c r="O187" s="323"/>
      <c r="P187" s="323"/>
      <c r="Q187" s="323"/>
      <c r="R187" s="323"/>
    </row>
    <row r="188" spans="1:31" x14ac:dyDescent="0.2">
      <c r="A188" s="288"/>
      <c r="B188" s="289"/>
      <c r="C188" s="273" t="s">
        <v>841</v>
      </c>
      <c r="D188" s="44"/>
      <c r="E188" s="36">
        <v>-1</v>
      </c>
      <c r="F188" s="36">
        <v>152.58000000000001</v>
      </c>
      <c r="G188" s="36"/>
      <c r="H188" s="36"/>
      <c r="I188" s="36">
        <f>ROUND(PRODUCT(E188:H188),2)</f>
        <v>-152.58000000000001</v>
      </c>
      <c r="K188" s="283"/>
      <c r="L188" s="323"/>
      <c r="M188" s="323"/>
      <c r="N188" s="323"/>
      <c r="O188" s="323"/>
      <c r="P188" s="323"/>
      <c r="Q188" s="323"/>
      <c r="R188" s="323"/>
    </row>
    <row r="189" spans="1:31" s="10" customFormat="1" x14ac:dyDescent="0.2">
      <c r="A189" s="32"/>
      <c r="B189" s="265"/>
      <c r="C189" s="45" t="str">
        <f>"Total item "&amp;A155</f>
        <v>Total item 4.3</v>
      </c>
      <c r="D189" s="44"/>
      <c r="E189" s="36"/>
      <c r="F189" s="36"/>
      <c r="G189" s="36"/>
      <c r="H189" s="36"/>
      <c r="I189" s="19">
        <f>SUM(I156:I188)</f>
        <v>284.67999999999995</v>
      </c>
    </row>
    <row r="190" spans="1:31" x14ac:dyDescent="0.2">
      <c r="A190" s="288"/>
      <c r="B190" s="289"/>
      <c r="C190" s="290"/>
      <c r="D190" s="291"/>
      <c r="E190" s="286"/>
      <c r="F190" s="286"/>
      <c r="G190" s="286"/>
      <c r="H190" s="286"/>
      <c r="I190" s="286"/>
    </row>
    <row r="191" spans="1:31" s="31" customFormat="1" ht="33.75" x14ac:dyDescent="0.2">
      <c r="A191" s="268" t="s">
        <v>808</v>
      </c>
      <c r="B191" s="269" t="s">
        <v>59</v>
      </c>
      <c r="C191" s="270" t="s">
        <v>367</v>
      </c>
      <c r="D191" s="271" t="s">
        <v>368</v>
      </c>
      <c r="E191" s="19"/>
      <c r="F191" s="19" t="s">
        <v>453</v>
      </c>
      <c r="G191" s="19"/>
      <c r="H191" s="19"/>
      <c r="I191" s="19"/>
      <c r="AE191" s="31" t="s">
        <v>127</v>
      </c>
    </row>
    <row r="192" spans="1:31" ht="22.5" x14ac:dyDescent="0.2">
      <c r="A192" s="32"/>
      <c r="B192" s="265"/>
      <c r="C192" s="45" t="s">
        <v>366</v>
      </c>
      <c r="D192" s="44"/>
      <c r="E192" s="293"/>
      <c r="F192" s="293"/>
      <c r="G192" s="36"/>
      <c r="H192" s="36"/>
      <c r="I192" s="36"/>
      <c r="L192" s="282"/>
      <c r="M192" s="282"/>
      <c r="N192" s="282"/>
      <c r="O192" s="282"/>
      <c r="P192" s="282"/>
      <c r="Q192" s="282"/>
      <c r="R192" s="282"/>
    </row>
    <row r="193" spans="1:31" x14ac:dyDescent="0.2">
      <c r="A193" s="32"/>
      <c r="B193" s="265"/>
      <c r="C193" s="45" t="s">
        <v>244</v>
      </c>
      <c r="D193" s="44"/>
      <c r="E193" s="293"/>
      <c r="F193" s="293"/>
      <c r="G193" s="36"/>
      <c r="H193" s="36"/>
      <c r="I193" s="36"/>
      <c r="L193" s="282"/>
      <c r="M193" s="282"/>
      <c r="N193" s="282"/>
      <c r="O193" s="282"/>
      <c r="P193" s="282"/>
      <c r="Q193" s="282"/>
      <c r="R193" s="282"/>
    </row>
    <row r="194" spans="1:31" x14ac:dyDescent="0.2">
      <c r="A194" s="32"/>
      <c r="B194" s="265"/>
      <c r="C194" s="273" t="s">
        <v>380</v>
      </c>
      <c r="D194" s="44"/>
      <c r="E194" s="36"/>
      <c r="F194" s="36">
        <v>896</v>
      </c>
      <c r="G194" s="36"/>
      <c r="H194" s="36"/>
      <c r="I194" s="36">
        <f>ROUND(PRODUCT(E194:H194),2)</f>
        <v>896</v>
      </c>
      <c r="L194" s="282" t="s">
        <v>102</v>
      </c>
      <c r="M194" s="282" t="s">
        <v>103</v>
      </c>
      <c r="N194" s="282" t="s">
        <v>104</v>
      </c>
      <c r="O194" s="282" t="s">
        <v>105</v>
      </c>
      <c r="P194" s="282" t="s">
        <v>106</v>
      </c>
      <c r="Q194" s="282" t="s">
        <v>107</v>
      </c>
      <c r="R194" s="282" t="s">
        <v>114</v>
      </c>
    </row>
    <row r="195" spans="1:31" x14ac:dyDescent="0.2">
      <c r="A195" s="32"/>
      <c r="B195" s="265"/>
      <c r="C195" s="45" t="s">
        <v>450</v>
      </c>
      <c r="D195" s="44"/>
      <c r="E195" s="36"/>
      <c r="F195" s="36"/>
      <c r="G195" s="36"/>
      <c r="H195" s="36"/>
      <c r="I195" s="36"/>
      <c r="L195" s="282"/>
      <c r="M195" s="282"/>
      <c r="N195" s="282"/>
      <c r="O195" s="282"/>
      <c r="P195" s="282"/>
      <c r="Q195" s="282"/>
      <c r="R195" s="282"/>
    </row>
    <row r="196" spans="1:31" x14ac:dyDescent="0.2">
      <c r="A196" s="32"/>
      <c r="B196" s="265"/>
      <c r="C196" s="273" t="s">
        <v>382</v>
      </c>
      <c r="D196" s="44"/>
      <c r="E196" s="36"/>
      <c r="F196" s="36">
        <v>1350</v>
      </c>
      <c r="G196" s="36"/>
      <c r="H196" s="36"/>
      <c r="I196" s="36">
        <f>ROUND(PRODUCT(E196:H196),2)</f>
        <v>1350</v>
      </c>
      <c r="L196" s="282" t="s">
        <v>102</v>
      </c>
      <c r="M196" s="282" t="s">
        <v>103</v>
      </c>
      <c r="N196" s="282" t="s">
        <v>104</v>
      </c>
      <c r="O196" s="282" t="s">
        <v>105</v>
      </c>
      <c r="P196" s="282" t="s">
        <v>106</v>
      </c>
      <c r="Q196" s="282" t="s">
        <v>107</v>
      </c>
      <c r="R196" s="282" t="s">
        <v>114</v>
      </c>
    </row>
    <row r="197" spans="1:31" x14ac:dyDescent="0.2">
      <c r="A197" s="32"/>
      <c r="B197" s="265"/>
      <c r="C197" s="273"/>
      <c r="D197" s="44"/>
      <c r="E197" s="36"/>
      <c r="F197" s="36" t="s">
        <v>201</v>
      </c>
      <c r="G197" s="36"/>
      <c r="H197" s="36"/>
      <c r="I197" s="36"/>
      <c r="L197" s="324"/>
      <c r="M197" s="324"/>
      <c r="N197" s="324"/>
      <c r="O197" s="324"/>
      <c r="P197" s="324"/>
      <c r="Q197" s="324"/>
      <c r="R197" s="324"/>
    </row>
    <row r="198" spans="1:31" x14ac:dyDescent="0.2">
      <c r="A198" s="32"/>
      <c r="B198" s="265"/>
      <c r="C198" s="273" t="s">
        <v>842</v>
      </c>
      <c r="D198" s="44"/>
      <c r="E198" s="36">
        <v>-1</v>
      </c>
      <c r="F198" s="36">
        <v>815.84</v>
      </c>
      <c r="G198" s="36"/>
      <c r="H198" s="36"/>
      <c r="I198" s="36">
        <f>ROUND(PRODUCT(E198:H198),2)</f>
        <v>-815.84</v>
      </c>
      <c r="L198" s="324"/>
      <c r="M198" s="324"/>
      <c r="N198" s="324"/>
      <c r="O198" s="324"/>
      <c r="P198" s="324"/>
      <c r="Q198" s="324"/>
      <c r="R198" s="324"/>
    </row>
    <row r="199" spans="1:31" x14ac:dyDescent="0.2">
      <c r="A199" s="32"/>
      <c r="B199" s="265"/>
      <c r="C199" s="45" t="str">
        <f>"Total item "&amp;A191</f>
        <v>Total item 4.4</v>
      </c>
      <c r="D199" s="44"/>
      <c r="E199" s="36"/>
      <c r="F199" s="36"/>
      <c r="G199" s="36"/>
      <c r="H199" s="36"/>
      <c r="I199" s="19">
        <f>SUM(I192:I198)</f>
        <v>1430.1599999999999</v>
      </c>
    </row>
    <row r="200" spans="1:31" x14ac:dyDescent="0.2">
      <c r="A200" s="32"/>
      <c r="B200" s="265"/>
      <c r="C200" s="266"/>
      <c r="D200" s="33"/>
      <c r="E200" s="267"/>
      <c r="F200" s="267"/>
      <c r="G200" s="267"/>
      <c r="H200" s="267"/>
      <c r="I200" s="267"/>
    </row>
    <row r="201" spans="1:31" s="31" customFormat="1" ht="33.75" x14ac:dyDescent="0.2">
      <c r="A201" s="268" t="s">
        <v>809</v>
      </c>
      <c r="B201" s="269" t="s">
        <v>59</v>
      </c>
      <c r="C201" s="294" t="s">
        <v>374</v>
      </c>
      <c r="D201" s="271" t="s">
        <v>368</v>
      </c>
      <c r="E201" s="19"/>
      <c r="F201" s="19"/>
      <c r="G201" s="19"/>
      <c r="H201" s="19"/>
      <c r="I201" s="19"/>
      <c r="AE201" s="31" t="s">
        <v>127</v>
      </c>
    </row>
    <row r="202" spans="1:31" ht="22.5" x14ac:dyDescent="0.2">
      <c r="A202" s="32"/>
      <c r="B202" s="265"/>
      <c r="C202" s="45" t="s">
        <v>366</v>
      </c>
      <c r="D202" s="44"/>
      <c r="E202" s="293"/>
      <c r="F202" s="293"/>
      <c r="G202" s="36"/>
      <c r="H202" s="36"/>
      <c r="I202" s="36"/>
      <c r="L202" s="282"/>
      <c r="M202" s="282"/>
      <c r="N202" s="282"/>
      <c r="O202" s="282"/>
      <c r="P202" s="282"/>
      <c r="Q202" s="282"/>
      <c r="R202" s="282"/>
    </row>
    <row r="203" spans="1:31" x14ac:dyDescent="0.2">
      <c r="A203" s="32"/>
      <c r="B203" s="265"/>
      <c r="C203" s="45" t="s">
        <v>450</v>
      </c>
      <c r="D203" s="44"/>
      <c r="E203" s="36"/>
      <c r="F203" s="36"/>
      <c r="G203" s="36"/>
      <c r="H203" s="36"/>
      <c r="I203" s="36"/>
      <c r="L203" s="282" t="s">
        <v>102</v>
      </c>
      <c r="M203" s="282" t="s">
        <v>103</v>
      </c>
      <c r="N203" s="282" t="s">
        <v>104</v>
      </c>
      <c r="O203" s="282" t="s">
        <v>105</v>
      </c>
      <c r="P203" s="282" t="s">
        <v>106</v>
      </c>
      <c r="Q203" s="282" t="s">
        <v>107</v>
      </c>
      <c r="R203" s="282" t="s">
        <v>114</v>
      </c>
    </row>
    <row r="204" spans="1:31" x14ac:dyDescent="0.2">
      <c r="A204" s="32"/>
      <c r="B204" s="265"/>
      <c r="C204" s="273" t="s">
        <v>382</v>
      </c>
      <c r="D204" s="44"/>
      <c r="E204" s="36"/>
      <c r="F204" s="36">
        <v>821</v>
      </c>
      <c r="G204" s="36"/>
      <c r="H204" s="36"/>
      <c r="I204" s="36">
        <f>ROUND(PRODUCT(E204:H204),2)</f>
        <v>821</v>
      </c>
      <c r="L204" s="282" t="s">
        <v>102</v>
      </c>
      <c r="M204" s="282" t="s">
        <v>103</v>
      </c>
      <c r="N204" s="282" t="s">
        <v>104</v>
      </c>
      <c r="O204" s="282" t="s">
        <v>105</v>
      </c>
      <c r="P204" s="282" t="s">
        <v>106</v>
      </c>
      <c r="Q204" s="282" t="s">
        <v>107</v>
      </c>
      <c r="R204" s="282" t="s">
        <v>114</v>
      </c>
    </row>
    <row r="205" spans="1:31" x14ac:dyDescent="0.2">
      <c r="A205" s="32"/>
      <c r="B205" s="265"/>
      <c r="C205" s="273"/>
      <c r="D205" s="44"/>
      <c r="E205" s="36"/>
      <c r="F205" s="36" t="s">
        <v>201</v>
      </c>
      <c r="G205" s="36"/>
      <c r="H205" s="36"/>
      <c r="I205" s="36"/>
      <c r="L205" s="324"/>
      <c r="M205" s="324"/>
      <c r="N205" s="324"/>
      <c r="O205" s="324"/>
      <c r="P205" s="324"/>
      <c r="Q205" s="324"/>
      <c r="R205" s="324"/>
    </row>
    <row r="206" spans="1:31" x14ac:dyDescent="0.2">
      <c r="A206" s="32"/>
      <c r="B206" s="265"/>
      <c r="C206" s="273" t="s">
        <v>842</v>
      </c>
      <c r="D206" s="44"/>
      <c r="E206" s="36">
        <v>-1</v>
      </c>
      <c r="F206" s="36">
        <v>290.93</v>
      </c>
      <c r="G206" s="36"/>
      <c r="H206" s="36"/>
      <c r="I206" s="36">
        <f>ROUND(PRODUCT(E206:H206),2)</f>
        <v>-290.93</v>
      </c>
      <c r="L206" s="324"/>
      <c r="M206" s="324"/>
      <c r="N206" s="324"/>
      <c r="O206" s="324"/>
      <c r="P206" s="324"/>
      <c r="Q206" s="324"/>
      <c r="R206" s="324"/>
    </row>
    <row r="207" spans="1:31" x14ac:dyDescent="0.2">
      <c r="A207" s="32"/>
      <c r="B207" s="265"/>
      <c r="C207" s="45" t="str">
        <f>"Total item "&amp;A201</f>
        <v>Total item 4.5</v>
      </c>
      <c r="D207" s="44"/>
      <c r="E207" s="36"/>
      <c r="F207" s="36"/>
      <c r="G207" s="36"/>
      <c r="H207" s="36"/>
      <c r="I207" s="19">
        <f>SUM(I202:I206)</f>
        <v>530.06999999999994</v>
      </c>
    </row>
    <row r="208" spans="1:31" x14ac:dyDescent="0.2">
      <c r="A208" s="32"/>
      <c r="B208" s="265"/>
      <c r="C208" s="266"/>
      <c r="D208" s="33"/>
      <c r="E208" s="267"/>
      <c r="F208" s="267"/>
      <c r="G208" s="267"/>
      <c r="H208" s="267"/>
      <c r="I208" s="267"/>
    </row>
    <row r="209" spans="1:31" s="31" customFormat="1" ht="33.75" x14ac:dyDescent="0.2">
      <c r="A209" s="268" t="s">
        <v>810</v>
      </c>
      <c r="B209" s="269" t="s">
        <v>59</v>
      </c>
      <c r="C209" s="294" t="s">
        <v>451</v>
      </c>
      <c r="D209" s="271" t="s">
        <v>118</v>
      </c>
      <c r="E209" s="19"/>
      <c r="F209" s="19"/>
      <c r="G209" s="19"/>
      <c r="H209" s="19"/>
      <c r="I209" s="19"/>
      <c r="AE209" s="31" t="s">
        <v>127</v>
      </c>
    </row>
    <row r="210" spans="1:31" x14ac:dyDescent="0.2">
      <c r="A210" s="32"/>
      <c r="B210" s="265"/>
      <c r="C210" s="273" t="s">
        <v>452</v>
      </c>
      <c r="D210" s="44"/>
      <c r="E210" s="36"/>
      <c r="F210" s="36"/>
      <c r="G210" s="36"/>
      <c r="H210" s="36"/>
      <c r="I210" s="36"/>
      <c r="K210" s="283"/>
      <c r="L210" s="284">
        <v>0.8</v>
      </c>
      <c r="M210" s="284">
        <v>0.8</v>
      </c>
      <c r="N210" s="284">
        <v>0.2</v>
      </c>
      <c r="O210" s="284">
        <v>0.3</v>
      </c>
      <c r="P210" s="284">
        <v>0.15</v>
      </c>
      <c r="Q210" s="284">
        <v>0.25</v>
      </c>
      <c r="R210" s="284">
        <v>1.5</v>
      </c>
    </row>
    <row r="211" spans="1:31" x14ac:dyDescent="0.2">
      <c r="A211" s="32"/>
      <c r="B211" s="265"/>
      <c r="C211" s="45" t="s">
        <v>244</v>
      </c>
      <c r="D211" s="44"/>
      <c r="E211" s="36"/>
      <c r="F211" s="36">
        <f>17.6+10.69+2.16</f>
        <v>30.45</v>
      </c>
      <c r="G211" s="36"/>
      <c r="H211" s="36"/>
      <c r="I211" s="36">
        <f>ROUND(PRODUCT(E211:H211),2)</f>
        <v>30.45</v>
      </c>
      <c r="K211" s="283"/>
      <c r="L211" s="284">
        <v>0.8</v>
      </c>
      <c r="M211" s="284">
        <v>0.8</v>
      </c>
      <c r="N211" s="284">
        <v>0.2</v>
      </c>
      <c r="O211" s="284">
        <v>0.3</v>
      </c>
      <c r="P211" s="284">
        <v>0.15</v>
      </c>
      <c r="Q211" s="284">
        <v>0.25</v>
      </c>
      <c r="R211" s="284">
        <v>1.5</v>
      </c>
    </row>
    <row r="212" spans="1:31" x14ac:dyDescent="0.2">
      <c r="A212" s="32"/>
      <c r="B212" s="265"/>
      <c r="C212" s="45" t="s">
        <v>450</v>
      </c>
      <c r="D212" s="44"/>
      <c r="E212" s="36"/>
      <c r="F212" s="36">
        <v>43.76</v>
      </c>
      <c r="G212" s="36"/>
      <c r="H212" s="36"/>
      <c r="I212" s="36">
        <f>ROUND(PRODUCT(E212:H212),2)</f>
        <v>43.76</v>
      </c>
      <c r="L212" s="285"/>
    </row>
    <row r="213" spans="1:31" x14ac:dyDescent="0.2">
      <c r="A213" s="32"/>
      <c r="B213" s="265"/>
      <c r="C213" s="273"/>
      <c r="D213" s="44"/>
      <c r="E213" s="36"/>
      <c r="F213" s="36" t="s">
        <v>201</v>
      </c>
      <c r="G213" s="36"/>
      <c r="H213" s="36"/>
      <c r="I213" s="36"/>
      <c r="L213" s="285"/>
    </row>
    <row r="214" spans="1:31" x14ac:dyDescent="0.2">
      <c r="A214" s="32"/>
      <c r="B214" s="265"/>
      <c r="C214" s="273" t="s">
        <v>843</v>
      </c>
      <c r="D214" s="44"/>
      <c r="E214" s="36">
        <v>-1</v>
      </c>
      <c r="F214" s="36">
        <v>24.99</v>
      </c>
      <c r="G214" s="36"/>
      <c r="H214" s="36"/>
      <c r="I214" s="36">
        <f>ROUND(PRODUCT(E214:H214),2)</f>
        <v>-24.99</v>
      </c>
      <c r="L214" s="285"/>
    </row>
    <row r="215" spans="1:31" x14ac:dyDescent="0.2">
      <c r="A215" s="32"/>
      <c r="B215" s="265"/>
      <c r="C215" s="45" t="str">
        <f>"Total item "&amp;A209</f>
        <v>Total item 4.6</v>
      </c>
      <c r="D215" s="44"/>
      <c r="E215" s="36"/>
      <c r="F215" s="36"/>
      <c r="G215" s="36"/>
      <c r="H215" s="36"/>
      <c r="I215" s="19">
        <f>SUM(I210:I214)</f>
        <v>49.22</v>
      </c>
    </row>
    <row r="216" spans="1:31" x14ac:dyDescent="0.2">
      <c r="A216" s="32"/>
      <c r="B216" s="265"/>
      <c r="C216" s="266"/>
      <c r="D216" s="33"/>
      <c r="E216" s="267"/>
      <c r="F216" s="267"/>
      <c r="G216" s="267"/>
      <c r="H216" s="267"/>
      <c r="I216" s="267"/>
    </row>
    <row r="217" spans="1:31" s="31" customFormat="1" ht="33.75" x14ac:dyDescent="0.2">
      <c r="A217" s="268" t="s">
        <v>811</v>
      </c>
      <c r="B217" s="269" t="s">
        <v>59</v>
      </c>
      <c r="C217" s="294" t="s">
        <v>379</v>
      </c>
      <c r="D217" s="271" t="s">
        <v>118</v>
      </c>
      <c r="E217" s="19"/>
      <c r="F217" s="19"/>
      <c r="G217" s="19"/>
      <c r="H217" s="19"/>
      <c r="I217" s="19"/>
      <c r="AE217" s="31" t="s">
        <v>127</v>
      </c>
    </row>
    <row r="218" spans="1:31" x14ac:dyDescent="0.2">
      <c r="A218" s="32"/>
      <c r="B218" s="265"/>
      <c r="C218" s="273" t="s">
        <v>376</v>
      </c>
      <c r="D218" s="44"/>
      <c r="E218" s="36"/>
      <c r="F218" s="36">
        <f>I215</f>
        <v>49.22</v>
      </c>
      <c r="G218" s="36"/>
      <c r="H218" s="36"/>
      <c r="I218" s="36">
        <f>ROUND(PRODUCT(E218:H218),2)</f>
        <v>49.22</v>
      </c>
      <c r="K218" s="283"/>
      <c r="L218" s="284">
        <v>0.8</v>
      </c>
      <c r="M218" s="284">
        <v>0.8</v>
      </c>
      <c r="N218" s="284">
        <v>0.2</v>
      </c>
      <c r="O218" s="284">
        <v>0.3</v>
      </c>
      <c r="P218" s="284">
        <v>0.15</v>
      </c>
      <c r="Q218" s="284">
        <v>0.25</v>
      </c>
      <c r="R218" s="284">
        <v>1.5</v>
      </c>
    </row>
    <row r="219" spans="1:31" x14ac:dyDescent="0.2">
      <c r="A219" s="32"/>
      <c r="B219" s="265"/>
      <c r="C219" s="45" t="str">
        <f>"Total item "&amp;A217</f>
        <v>Total item 4.7</v>
      </c>
      <c r="D219" s="44"/>
      <c r="E219" s="36"/>
      <c r="F219" s="36"/>
      <c r="G219" s="36"/>
      <c r="H219" s="36"/>
      <c r="I219" s="19">
        <f>SUM(I218:I218)</f>
        <v>49.22</v>
      </c>
    </row>
    <row r="220" spans="1:31" x14ac:dyDescent="0.2">
      <c r="A220" s="288"/>
      <c r="B220" s="289"/>
      <c r="C220" s="290"/>
      <c r="D220" s="291"/>
      <c r="E220" s="286"/>
      <c r="F220" s="286"/>
      <c r="G220" s="286"/>
      <c r="H220" s="286"/>
      <c r="I220" s="286"/>
    </row>
    <row r="221" spans="1:31" s="263" customFormat="1" ht="10.5" customHeight="1" x14ac:dyDescent="0.2">
      <c r="A221" s="252" t="s">
        <v>235</v>
      </c>
      <c r="B221" s="253"/>
      <c r="C221" s="254" t="s">
        <v>40</v>
      </c>
      <c r="D221" s="255"/>
      <c r="E221" s="256"/>
      <c r="F221" s="256"/>
      <c r="G221" s="256"/>
      <c r="H221" s="256"/>
      <c r="I221" s="256"/>
      <c r="J221" s="261" t="s">
        <v>110</v>
      </c>
      <c r="K221" s="262" t="s">
        <v>160</v>
      </c>
      <c r="AE221" s="264"/>
    </row>
    <row r="222" spans="1:31" s="10" customFormat="1" x14ac:dyDescent="0.2">
      <c r="A222" s="32"/>
      <c r="B222" s="265"/>
      <c r="C222" s="266"/>
      <c r="D222" s="33"/>
      <c r="E222" s="267"/>
      <c r="F222" s="267"/>
      <c r="G222" s="267"/>
      <c r="H222" s="267"/>
      <c r="I222" s="267"/>
      <c r="K222" s="295"/>
    </row>
    <row r="223" spans="1:31" s="31" customFormat="1" ht="45" x14ac:dyDescent="0.2">
      <c r="A223" s="268" t="s">
        <v>15</v>
      </c>
      <c r="B223" s="269" t="s">
        <v>59</v>
      </c>
      <c r="C223" s="294" t="s">
        <v>384</v>
      </c>
      <c r="D223" s="271" t="s">
        <v>112</v>
      </c>
      <c r="E223" s="292"/>
      <c r="F223" s="292" t="s">
        <v>458</v>
      </c>
      <c r="G223" s="292"/>
      <c r="H223" s="19"/>
      <c r="I223" s="19"/>
      <c r="J223" s="31" t="s">
        <v>459</v>
      </c>
      <c r="AE223" s="31" t="s">
        <v>127</v>
      </c>
    </row>
    <row r="224" spans="1:31" x14ac:dyDescent="0.2">
      <c r="A224" s="288"/>
      <c r="B224" s="265"/>
      <c r="C224" s="273" t="s">
        <v>452</v>
      </c>
      <c r="D224" s="44"/>
      <c r="E224" s="36"/>
      <c r="F224" s="36"/>
      <c r="G224" s="36"/>
      <c r="H224" s="36"/>
      <c r="I224" s="36"/>
      <c r="L224" s="282" t="s">
        <v>102</v>
      </c>
      <c r="M224" s="282" t="s">
        <v>103</v>
      </c>
      <c r="N224" s="282" t="s">
        <v>104</v>
      </c>
      <c r="O224" s="282" t="s">
        <v>105</v>
      </c>
      <c r="P224" s="282" t="s">
        <v>106</v>
      </c>
      <c r="Q224" s="282" t="s">
        <v>107</v>
      </c>
      <c r="R224" s="282" t="s">
        <v>114</v>
      </c>
    </row>
    <row r="225" spans="1:31" ht="45" x14ac:dyDescent="0.2">
      <c r="A225" s="288"/>
      <c r="B225" s="265"/>
      <c r="C225" s="273" t="s">
        <v>578</v>
      </c>
      <c r="D225" s="44"/>
      <c r="E225" s="36">
        <v>35</v>
      </c>
      <c r="F225" s="36">
        <v>0.2</v>
      </c>
      <c r="G225" s="36">
        <v>0.3</v>
      </c>
      <c r="H225" s="36">
        <v>6.08</v>
      </c>
      <c r="I225" s="36">
        <f>ROUND(((F225+F225+G225+G225)*H225)*E225,2)</f>
        <v>212.8</v>
      </c>
      <c r="K225" s="283"/>
      <c r="L225" s="284"/>
      <c r="M225" s="284"/>
      <c r="N225" s="284"/>
      <c r="O225" s="284"/>
      <c r="P225" s="284"/>
      <c r="Q225" s="284"/>
      <c r="R225" s="284"/>
    </row>
    <row r="226" spans="1:31" x14ac:dyDescent="0.2">
      <c r="A226" s="288"/>
      <c r="B226" s="265"/>
      <c r="C226" s="273" t="s">
        <v>577</v>
      </c>
      <c r="D226" s="44"/>
      <c r="E226" s="36">
        <v>10</v>
      </c>
      <c r="F226" s="36">
        <v>0.15</v>
      </c>
      <c r="G226" s="36">
        <v>0.3</v>
      </c>
      <c r="H226" s="36">
        <v>6.08</v>
      </c>
      <c r="I226" s="36">
        <f>ROUND(((F226+F226+G226+G226)*H226)*E226,2)</f>
        <v>54.72</v>
      </c>
      <c r="K226" s="283"/>
      <c r="L226" s="284"/>
      <c r="M226" s="284"/>
      <c r="N226" s="284"/>
      <c r="O226" s="284"/>
      <c r="P226" s="284"/>
      <c r="Q226" s="284"/>
      <c r="R226" s="284"/>
    </row>
    <row r="227" spans="1:31" ht="33.75" x14ac:dyDescent="0.2">
      <c r="A227" s="288"/>
      <c r="B227" s="265"/>
      <c r="C227" s="273" t="s">
        <v>576</v>
      </c>
      <c r="D227" s="44"/>
      <c r="E227" s="36">
        <v>30</v>
      </c>
      <c r="F227" s="36">
        <v>0.2</v>
      </c>
      <c r="G227" s="36">
        <v>0.4</v>
      </c>
      <c r="H227" s="36">
        <v>6.08</v>
      </c>
      <c r="I227" s="36">
        <f>ROUND(((F227+F227+G227+G227)*H227)*E227,2)</f>
        <v>218.88</v>
      </c>
      <c r="K227" s="283"/>
      <c r="L227" s="284"/>
      <c r="M227" s="284"/>
      <c r="N227" s="284"/>
      <c r="O227" s="284"/>
      <c r="P227" s="284"/>
      <c r="Q227" s="284"/>
      <c r="R227" s="284"/>
    </row>
    <row r="228" spans="1:31" x14ac:dyDescent="0.2">
      <c r="A228" s="288"/>
      <c r="B228" s="265"/>
      <c r="C228" s="273" t="s">
        <v>580</v>
      </c>
      <c r="D228" s="44"/>
      <c r="E228" s="36">
        <v>9</v>
      </c>
      <c r="F228" s="36">
        <v>0.2</v>
      </c>
      <c r="G228" s="36">
        <v>0.5</v>
      </c>
      <c r="H228" s="36">
        <v>2.78</v>
      </c>
      <c r="I228" s="36">
        <f>ROUND(((F228+F228+G228+G228)*H228)*E228,2)</f>
        <v>35.03</v>
      </c>
      <c r="K228" s="283"/>
      <c r="L228" s="284"/>
      <c r="M228" s="284"/>
      <c r="N228" s="284"/>
      <c r="O228" s="284"/>
      <c r="P228" s="284"/>
      <c r="Q228" s="284"/>
      <c r="R228" s="284"/>
    </row>
    <row r="229" spans="1:31" x14ac:dyDescent="0.2">
      <c r="A229" s="288"/>
      <c r="B229" s="265"/>
      <c r="C229" s="273" t="s">
        <v>579</v>
      </c>
      <c r="D229" s="44"/>
      <c r="E229" s="36">
        <v>4</v>
      </c>
      <c r="F229" s="36">
        <v>0.2</v>
      </c>
      <c r="G229" s="36">
        <v>0.5</v>
      </c>
      <c r="H229" s="36">
        <v>6.08</v>
      </c>
      <c r="I229" s="36">
        <f>ROUND(((F229+F229+G229+G229)*H229)*E229,2)</f>
        <v>34.049999999999997</v>
      </c>
      <c r="K229" s="283"/>
      <c r="L229" s="284"/>
      <c r="M229" s="284"/>
      <c r="N229" s="284"/>
      <c r="O229" s="284"/>
      <c r="P229" s="284"/>
      <c r="Q229" s="284"/>
      <c r="R229" s="284"/>
    </row>
    <row r="230" spans="1:31" x14ac:dyDescent="0.2">
      <c r="A230" s="288"/>
      <c r="B230" s="265"/>
      <c r="C230" s="273"/>
      <c r="D230" s="44"/>
      <c r="E230" s="36"/>
      <c r="F230" s="36" t="s">
        <v>201</v>
      </c>
      <c r="G230" s="36"/>
      <c r="H230" s="36"/>
      <c r="I230" s="36"/>
      <c r="K230" s="283"/>
      <c r="L230" s="323"/>
      <c r="M230" s="323"/>
      <c r="N230" s="323"/>
      <c r="O230" s="323"/>
      <c r="P230" s="323"/>
      <c r="Q230" s="323"/>
      <c r="R230" s="323"/>
    </row>
    <row r="231" spans="1:31" x14ac:dyDescent="0.2">
      <c r="A231" s="288"/>
      <c r="B231" s="265"/>
      <c r="C231" s="273" t="s">
        <v>841</v>
      </c>
      <c r="D231" s="44"/>
      <c r="E231" s="36">
        <v>-1</v>
      </c>
      <c r="F231" s="36">
        <v>203.22</v>
      </c>
      <c r="G231" s="36"/>
      <c r="H231" s="36"/>
      <c r="I231" s="36">
        <f>ROUND(PRODUCT(E231:H231),2)</f>
        <v>-203.22</v>
      </c>
      <c r="K231" s="283"/>
      <c r="L231" s="323"/>
      <c r="M231" s="323"/>
      <c r="N231" s="323"/>
      <c r="O231" s="323"/>
      <c r="P231" s="323"/>
      <c r="Q231" s="323"/>
      <c r="R231" s="323"/>
    </row>
    <row r="232" spans="1:31" x14ac:dyDescent="0.2">
      <c r="A232" s="288"/>
      <c r="B232" s="265"/>
      <c r="C232" s="45" t="str">
        <f>"Total item "&amp;A223</f>
        <v>Total item 5.1</v>
      </c>
      <c r="D232" s="44"/>
      <c r="E232" s="36"/>
      <c r="F232" s="36"/>
      <c r="G232" s="36"/>
      <c r="H232" s="36"/>
      <c r="I232" s="19">
        <f>SUM(I224:I231)</f>
        <v>352.25999999999988</v>
      </c>
    </row>
    <row r="233" spans="1:31" x14ac:dyDescent="0.2">
      <c r="A233" s="288"/>
      <c r="B233" s="265"/>
      <c r="C233" s="266"/>
      <c r="D233" s="33"/>
      <c r="E233" s="267"/>
      <c r="F233" s="267"/>
      <c r="G233" s="267"/>
      <c r="H233" s="267"/>
      <c r="I233" s="267"/>
    </row>
    <row r="234" spans="1:31" s="31" customFormat="1" ht="45" x14ac:dyDescent="0.2">
      <c r="A234" s="268" t="s">
        <v>273</v>
      </c>
      <c r="B234" s="269" t="s">
        <v>59</v>
      </c>
      <c r="C234" s="294" t="s">
        <v>385</v>
      </c>
      <c r="D234" s="271" t="s">
        <v>112</v>
      </c>
      <c r="E234" s="19"/>
      <c r="F234" s="19"/>
      <c r="G234" s="19"/>
      <c r="H234" s="19"/>
      <c r="I234" s="19"/>
      <c r="J234" s="31" t="s">
        <v>459</v>
      </c>
      <c r="AE234" s="31" t="s">
        <v>127</v>
      </c>
    </row>
    <row r="235" spans="1:31" x14ac:dyDescent="0.2">
      <c r="A235" s="288"/>
      <c r="B235" s="265"/>
      <c r="C235" s="273" t="s">
        <v>452</v>
      </c>
      <c r="D235" s="44"/>
      <c r="E235" s="36"/>
      <c r="F235" s="36"/>
      <c r="G235" s="36"/>
      <c r="H235" s="36"/>
      <c r="I235" s="36"/>
      <c r="L235" s="282" t="s">
        <v>102</v>
      </c>
      <c r="M235" s="282" t="s">
        <v>103</v>
      </c>
      <c r="N235" s="282" t="s">
        <v>104</v>
      </c>
      <c r="O235" s="282" t="s">
        <v>105</v>
      </c>
      <c r="P235" s="282" t="s">
        <v>106</v>
      </c>
      <c r="Q235" s="282" t="s">
        <v>107</v>
      </c>
      <c r="R235" s="282" t="s">
        <v>114</v>
      </c>
    </row>
    <row r="236" spans="1:31" x14ac:dyDescent="0.2">
      <c r="A236" s="288"/>
      <c r="B236" s="265"/>
      <c r="C236" s="273" t="s">
        <v>582</v>
      </c>
      <c r="D236" s="44"/>
      <c r="E236" s="36">
        <v>1</v>
      </c>
      <c r="F236" s="36">
        <f>1.35+3.18+1.47+3.05</f>
        <v>9.0500000000000007</v>
      </c>
      <c r="G236" s="36">
        <v>0.2</v>
      </c>
      <c r="H236" s="36">
        <v>0.4</v>
      </c>
      <c r="I236" s="36">
        <f>ROUND(((H236+H236+G236)*F236)*E236,2)</f>
        <v>9.0500000000000007</v>
      </c>
      <c r="L236" s="282"/>
      <c r="M236" s="282"/>
      <c r="N236" s="282"/>
      <c r="O236" s="282"/>
      <c r="P236" s="282"/>
      <c r="Q236" s="282"/>
      <c r="R236" s="282"/>
    </row>
    <row r="237" spans="1:31" x14ac:dyDescent="0.2">
      <c r="A237" s="288"/>
      <c r="B237" s="265"/>
      <c r="C237" s="273" t="s">
        <v>583</v>
      </c>
      <c r="D237" s="44"/>
      <c r="E237" s="36">
        <v>1</v>
      </c>
      <c r="F237" s="36">
        <f>2.8+2.8+3.94</f>
        <v>9.5399999999999991</v>
      </c>
      <c r="G237" s="36">
        <v>0.2</v>
      </c>
      <c r="H237" s="36">
        <v>0.4</v>
      </c>
      <c r="I237" s="36">
        <f t="shared" ref="I237:I291" si="3">ROUND(((H237+H237+G237)*F237)*E237,2)</f>
        <v>9.5399999999999991</v>
      </c>
      <c r="L237" s="282"/>
      <c r="M237" s="282"/>
      <c r="N237" s="282"/>
      <c r="O237" s="282"/>
      <c r="P237" s="282"/>
      <c r="Q237" s="282"/>
      <c r="R237" s="282"/>
    </row>
    <row r="238" spans="1:31" x14ac:dyDescent="0.2">
      <c r="A238" s="288"/>
      <c r="B238" s="265"/>
      <c r="C238" s="273" t="s">
        <v>584</v>
      </c>
      <c r="D238" s="44"/>
      <c r="E238" s="36">
        <v>1</v>
      </c>
      <c r="F238" s="36">
        <f>45.97-2.4</f>
        <v>43.57</v>
      </c>
      <c r="G238" s="36">
        <v>0.2</v>
      </c>
      <c r="H238" s="36">
        <v>0.4</v>
      </c>
      <c r="I238" s="36">
        <f t="shared" si="3"/>
        <v>43.57</v>
      </c>
      <c r="L238" s="282"/>
      <c r="M238" s="282"/>
      <c r="N238" s="282"/>
      <c r="O238" s="282"/>
      <c r="P238" s="282"/>
      <c r="Q238" s="282"/>
      <c r="R238" s="282"/>
    </row>
    <row r="239" spans="1:31" x14ac:dyDescent="0.2">
      <c r="A239" s="288"/>
      <c r="B239" s="265"/>
      <c r="C239" s="273" t="s">
        <v>585</v>
      </c>
      <c r="D239" s="44"/>
      <c r="E239" s="36">
        <v>1</v>
      </c>
      <c r="F239" s="36">
        <f>45.97-1.8-1.2</f>
        <v>42.97</v>
      </c>
      <c r="G239" s="36">
        <v>0.2</v>
      </c>
      <c r="H239" s="36">
        <v>0.5</v>
      </c>
      <c r="I239" s="36">
        <f t="shared" si="3"/>
        <v>51.56</v>
      </c>
      <c r="L239" s="282"/>
      <c r="M239" s="282"/>
      <c r="N239" s="282"/>
      <c r="O239" s="282"/>
      <c r="P239" s="282"/>
      <c r="Q239" s="282"/>
      <c r="R239" s="282"/>
    </row>
    <row r="240" spans="1:31" x14ac:dyDescent="0.2">
      <c r="A240" s="288"/>
      <c r="B240" s="265"/>
      <c r="C240" s="273" t="s">
        <v>586</v>
      </c>
      <c r="D240" s="44"/>
      <c r="E240" s="36">
        <v>1</v>
      </c>
      <c r="F240" s="36">
        <f>45.97-1.2</f>
        <v>44.769999999999996</v>
      </c>
      <c r="G240" s="36">
        <v>0.2</v>
      </c>
      <c r="H240" s="36">
        <v>0.6</v>
      </c>
      <c r="I240" s="36">
        <f t="shared" si="3"/>
        <v>62.68</v>
      </c>
      <c r="L240" s="282"/>
      <c r="M240" s="282"/>
      <c r="N240" s="282"/>
      <c r="O240" s="282"/>
      <c r="P240" s="282"/>
      <c r="Q240" s="282"/>
      <c r="R240" s="282"/>
    </row>
    <row r="241" spans="1:18" x14ac:dyDescent="0.2">
      <c r="A241" s="288"/>
      <c r="B241" s="265"/>
      <c r="C241" s="273" t="s">
        <v>587</v>
      </c>
      <c r="D241" s="44"/>
      <c r="E241" s="36">
        <v>1</v>
      </c>
      <c r="F241" s="36">
        <f>45.97-1.2-1.8</f>
        <v>42.97</v>
      </c>
      <c r="G241" s="36">
        <v>0.2</v>
      </c>
      <c r="H241" s="36">
        <v>0.5</v>
      </c>
      <c r="I241" s="36">
        <f>ROUND(((H241+H241+G241)*F241)*E241,2)</f>
        <v>51.56</v>
      </c>
      <c r="L241" s="282"/>
      <c r="M241" s="282"/>
      <c r="N241" s="282"/>
      <c r="O241" s="282"/>
      <c r="P241" s="282"/>
      <c r="Q241" s="282"/>
      <c r="R241" s="282"/>
    </row>
    <row r="242" spans="1:18" x14ac:dyDescent="0.2">
      <c r="A242" s="288"/>
      <c r="B242" s="265"/>
      <c r="C242" s="273" t="s">
        <v>588</v>
      </c>
      <c r="D242" s="44"/>
      <c r="E242" s="36">
        <v>1</v>
      </c>
      <c r="F242" s="36">
        <f>45.97-1.2-0.75</f>
        <v>44.019999999999996</v>
      </c>
      <c r="G242" s="36">
        <v>0.2</v>
      </c>
      <c r="H242" s="36">
        <v>0.4</v>
      </c>
      <c r="I242" s="36">
        <f>ROUND(((H242+H242+G242)*F242)*E242,2)</f>
        <v>44.02</v>
      </c>
      <c r="L242" s="282"/>
      <c r="M242" s="282"/>
      <c r="N242" s="282"/>
      <c r="O242" s="282"/>
      <c r="P242" s="282"/>
      <c r="Q242" s="282"/>
      <c r="R242" s="282"/>
    </row>
    <row r="243" spans="1:18" x14ac:dyDescent="0.2">
      <c r="A243" s="288"/>
      <c r="B243" s="265"/>
      <c r="C243" s="273" t="s">
        <v>589</v>
      </c>
      <c r="D243" s="44"/>
      <c r="E243" s="36">
        <v>1</v>
      </c>
      <c r="F243" s="36">
        <f>38.97-0.75</f>
        <v>38.22</v>
      </c>
      <c r="G243" s="36">
        <v>0.2</v>
      </c>
      <c r="H243" s="36">
        <v>0.4</v>
      </c>
      <c r="I243" s="36">
        <f t="shared" si="3"/>
        <v>38.22</v>
      </c>
      <c r="L243" s="282"/>
      <c r="M243" s="282"/>
      <c r="N243" s="282"/>
      <c r="O243" s="282"/>
      <c r="P243" s="282"/>
      <c r="Q243" s="282"/>
      <c r="R243" s="282"/>
    </row>
    <row r="244" spans="1:18" x14ac:dyDescent="0.2">
      <c r="A244" s="288"/>
      <c r="B244" s="265"/>
      <c r="C244" s="273" t="s">
        <v>590</v>
      </c>
      <c r="D244" s="44"/>
      <c r="E244" s="36">
        <v>1</v>
      </c>
      <c r="F244" s="36">
        <f>38.97-0.75</f>
        <v>38.22</v>
      </c>
      <c r="G244" s="36">
        <v>0.2</v>
      </c>
      <c r="H244" s="36">
        <v>0.4</v>
      </c>
      <c r="I244" s="36">
        <f t="shared" si="3"/>
        <v>38.22</v>
      </c>
      <c r="L244" s="282"/>
      <c r="M244" s="282"/>
      <c r="N244" s="282"/>
      <c r="O244" s="282"/>
      <c r="P244" s="282"/>
      <c r="Q244" s="282"/>
      <c r="R244" s="282"/>
    </row>
    <row r="245" spans="1:18" x14ac:dyDescent="0.2">
      <c r="A245" s="288"/>
      <c r="B245" s="265"/>
      <c r="C245" s="273" t="s">
        <v>591</v>
      </c>
      <c r="D245" s="44"/>
      <c r="E245" s="36">
        <v>1</v>
      </c>
      <c r="F245" s="36">
        <f>14.25-1.35</f>
        <v>12.9</v>
      </c>
      <c r="G245" s="36">
        <v>0.2</v>
      </c>
      <c r="H245" s="36">
        <v>0.4</v>
      </c>
      <c r="I245" s="36">
        <f>ROUND(((H245+H245+G245)*F245)*E245,2)</f>
        <v>12.9</v>
      </c>
      <c r="L245" s="282"/>
      <c r="M245" s="282"/>
      <c r="N245" s="282"/>
      <c r="O245" s="282"/>
      <c r="P245" s="282"/>
      <c r="Q245" s="282"/>
      <c r="R245" s="282"/>
    </row>
    <row r="246" spans="1:18" x14ac:dyDescent="0.2">
      <c r="A246" s="288"/>
      <c r="B246" s="265"/>
      <c r="C246" s="273" t="s">
        <v>592</v>
      </c>
      <c r="D246" s="44"/>
      <c r="E246" s="36">
        <v>1</v>
      </c>
      <c r="F246" s="36">
        <v>1.65</v>
      </c>
      <c r="G246" s="36">
        <v>0.15</v>
      </c>
      <c r="H246" s="36">
        <v>0.4</v>
      </c>
      <c r="I246" s="36">
        <f t="shared" si="3"/>
        <v>1.57</v>
      </c>
      <c r="L246" s="282"/>
      <c r="M246" s="282"/>
      <c r="N246" s="282"/>
      <c r="O246" s="282"/>
      <c r="P246" s="282"/>
      <c r="Q246" s="282"/>
      <c r="R246" s="282"/>
    </row>
    <row r="247" spans="1:18" x14ac:dyDescent="0.2">
      <c r="A247" s="288"/>
      <c r="B247" s="265"/>
      <c r="C247" s="273" t="s">
        <v>593</v>
      </c>
      <c r="D247" s="44"/>
      <c r="E247" s="36">
        <v>1</v>
      </c>
      <c r="F247" s="36">
        <f>24.15-2.1</f>
        <v>22.049999999999997</v>
      </c>
      <c r="G247" s="36">
        <v>0.2</v>
      </c>
      <c r="H247" s="36">
        <v>0.4</v>
      </c>
      <c r="I247" s="36">
        <f t="shared" si="3"/>
        <v>22.05</v>
      </c>
      <c r="L247" s="282"/>
      <c r="M247" s="282"/>
      <c r="N247" s="282"/>
      <c r="O247" s="282"/>
      <c r="P247" s="282"/>
      <c r="Q247" s="282"/>
      <c r="R247" s="282"/>
    </row>
    <row r="248" spans="1:18" x14ac:dyDescent="0.2">
      <c r="A248" s="288"/>
      <c r="B248" s="265"/>
      <c r="C248" s="273" t="s">
        <v>594</v>
      </c>
      <c r="D248" s="44"/>
      <c r="E248" s="36">
        <v>1</v>
      </c>
      <c r="F248" s="36">
        <v>1.65</v>
      </c>
      <c r="G248" s="36">
        <v>0.15</v>
      </c>
      <c r="H248" s="36">
        <v>0.4</v>
      </c>
      <c r="I248" s="36">
        <f t="shared" si="3"/>
        <v>1.57</v>
      </c>
      <c r="L248" s="282"/>
      <c r="M248" s="282"/>
      <c r="N248" s="282"/>
      <c r="O248" s="282"/>
      <c r="P248" s="282"/>
      <c r="Q248" s="282"/>
      <c r="R248" s="282"/>
    </row>
    <row r="249" spans="1:18" x14ac:dyDescent="0.2">
      <c r="A249" s="288"/>
      <c r="B249" s="265"/>
      <c r="C249" s="273" t="s">
        <v>595</v>
      </c>
      <c r="D249" s="44"/>
      <c r="E249" s="36">
        <v>1</v>
      </c>
      <c r="F249" s="36">
        <f>24.15-2.1</f>
        <v>22.049999999999997</v>
      </c>
      <c r="G249" s="36">
        <v>0.2</v>
      </c>
      <c r="H249" s="36">
        <v>0.4</v>
      </c>
      <c r="I249" s="36">
        <f t="shared" si="3"/>
        <v>22.05</v>
      </c>
      <c r="L249" s="282"/>
      <c r="M249" s="282"/>
      <c r="N249" s="282"/>
      <c r="O249" s="282"/>
      <c r="P249" s="282"/>
      <c r="Q249" s="282"/>
      <c r="R249" s="282"/>
    </row>
    <row r="250" spans="1:18" x14ac:dyDescent="0.2">
      <c r="A250" s="288"/>
      <c r="B250" s="265"/>
      <c r="C250" s="273" t="s">
        <v>596</v>
      </c>
      <c r="D250" s="44"/>
      <c r="E250" s="36">
        <v>1</v>
      </c>
      <c r="F250" s="36">
        <v>1.65</v>
      </c>
      <c r="G250" s="36">
        <v>0.15</v>
      </c>
      <c r="H250" s="36">
        <v>0.4</v>
      </c>
      <c r="I250" s="36">
        <f t="shared" si="3"/>
        <v>1.57</v>
      </c>
      <c r="L250" s="282"/>
      <c r="M250" s="282"/>
      <c r="N250" s="282"/>
      <c r="O250" s="282"/>
      <c r="P250" s="282"/>
      <c r="Q250" s="282"/>
      <c r="R250" s="282"/>
    </row>
    <row r="251" spans="1:18" x14ac:dyDescent="0.2">
      <c r="A251" s="288"/>
      <c r="B251" s="265"/>
      <c r="C251" s="273" t="s">
        <v>597</v>
      </c>
      <c r="D251" s="44"/>
      <c r="E251" s="36">
        <v>1</v>
      </c>
      <c r="F251" s="36">
        <f>24.15-2.1</f>
        <v>22.049999999999997</v>
      </c>
      <c r="G251" s="36">
        <v>0.2</v>
      </c>
      <c r="H251" s="36">
        <v>0.4</v>
      </c>
      <c r="I251" s="36">
        <f t="shared" si="3"/>
        <v>22.05</v>
      </c>
      <c r="L251" s="282"/>
      <c r="M251" s="282"/>
      <c r="N251" s="282"/>
      <c r="O251" s="282"/>
      <c r="P251" s="282"/>
      <c r="Q251" s="282"/>
      <c r="R251" s="282"/>
    </row>
    <row r="252" spans="1:18" x14ac:dyDescent="0.2">
      <c r="A252" s="288"/>
      <c r="B252" s="265"/>
      <c r="C252" s="273" t="s">
        <v>598</v>
      </c>
      <c r="D252" s="44"/>
      <c r="E252" s="36">
        <v>1</v>
      </c>
      <c r="F252" s="36">
        <f>24.15-2.1-1.9</f>
        <v>20.149999999999999</v>
      </c>
      <c r="G252" s="36">
        <v>0.2</v>
      </c>
      <c r="H252" s="36">
        <v>0.4</v>
      </c>
      <c r="I252" s="36">
        <f t="shared" si="3"/>
        <v>20.149999999999999</v>
      </c>
      <c r="L252" s="282"/>
      <c r="M252" s="282"/>
      <c r="N252" s="282"/>
      <c r="O252" s="282"/>
      <c r="P252" s="282"/>
      <c r="Q252" s="282"/>
      <c r="R252" s="282"/>
    </row>
    <row r="253" spans="1:18" x14ac:dyDescent="0.2">
      <c r="A253" s="288"/>
      <c r="B253" s="265"/>
      <c r="C253" s="273" t="s">
        <v>599</v>
      </c>
      <c r="D253" s="44"/>
      <c r="E253" s="36">
        <v>1</v>
      </c>
      <c r="F253" s="36">
        <v>1.65</v>
      </c>
      <c r="G253" s="36">
        <v>0.15</v>
      </c>
      <c r="H253" s="36">
        <v>0.4</v>
      </c>
      <c r="I253" s="36">
        <f t="shared" si="3"/>
        <v>1.57</v>
      </c>
      <c r="L253" s="282"/>
      <c r="M253" s="282"/>
      <c r="N253" s="282"/>
      <c r="O253" s="282"/>
      <c r="P253" s="282"/>
      <c r="Q253" s="282"/>
      <c r="R253" s="282"/>
    </row>
    <row r="254" spans="1:18" x14ac:dyDescent="0.2">
      <c r="A254" s="288"/>
      <c r="B254" s="265"/>
      <c r="C254" s="273" t="s">
        <v>600</v>
      </c>
      <c r="D254" s="44"/>
      <c r="E254" s="36">
        <v>1</v>
      </c>
      <c r="F254" s="36">
        <v>1.9</v>
      </c>
      <c r="G254" s="36">
        <v>0.15</v>
      </c>
      <c r="H254" s="36">
        <v>0.4</v>
      </c>
      <c r="I254" s="36">
        <f t="shared" si="3"/>
        <v>1.81</v>
      </c>
      <c r="L254" s="282"/>
      <c r="M254" s="282"/>
      <c r="N254" s="282"/>
      <c r="O254" s="282"/>
      <c r="P254" s="282"/>
      <c r="Q254" s="282"/>
      <c r="R254" s="282"/>
    </row>
    <row r="255" spans="1:18" x14ac:dyDescent="0.2">
      <c r="A255" s="288"/>
      <c r="B255" s="265"/>
      <c r="C255" s="273" t="s">
        <v>601</v>
      </c>
      <c r="D255" s="44"/>
      <c r="E255" s="36">
        <v>1</v>
      </c>
      <c r="F255" s="36">
        <f>24.15-2.1-1.9</f>
        <v>20.149999999999999</v>
      </c>
      <c r="G255" s="36">
        <v>0.2</v>
      </c>
      <c r="H255" s="36">
        <v>0.4</v>
      </c>
      <c r="I255" s="36">
        <f t="shared" si="3"/>
        <v>20.149999999999999</v>
      </c>
      <c r="L255" s="282"/>
      <c r="M255" s="282"/>
      <c r="N255" s="282"/>
      <c r="O255" s="282"/>
      <c r="P255" s="282"/>
      <c r="Q255" s="282"/>
      <c r="R255" s="282"/>
    </row>
    <row r="256" spans="1:18" x14ac:dyDescent="0.2">
      <c r="A256" s="288"/>
      <c r="B256" s="265"/>
      <c r="C256" s="273" t="s">
        <v>602</v>
      </c>
      <c r="D256" s="44"/>
      <c r="E256" s="36">
        <v>1</v>
      </c>
      <c r="F256" s="36">
        <v>1.65</v>
      </c>
      <c r="G256" s="36">
        <v>0.15</v>
      </c>
      <c r="H256" s="36">
        <v>0.4</v>
      </c>
      <c r="I256" s="36">
        <f t="shared" si="3"/>
        <v>1.57</v>
      </c>
      <c r="L256" s="282"/>
      <c r="M256" s="282"/>
      <c r="N256" s="282"/>
      <c r="O256" s="282"/>
      <c r="P256" s="282"/>
      <c r="Q256" s="282"/>
      <c r="R256" s="282"/>
    </row>
    <row r="257" spans="1:18" x14ac:dyDescent="0.2">
      <c r="A257" s="288"/>
      <c r="B257" s="265"/>
      <c r="C257" s="273" t="s">
        <v>603</v>
      </c>
      <c r="D257" s="44"/>
      <c r="E257" s="36">
        <v>1</v>
      </c>
      <c r="F257" s="36">
        <v>1.9</v>
      </c>
      <c r="G257" s="36">
        <v>0.15</v>
      </c>
      <c r="H257" s="36">
        <v>0.4</v>
      </c>
      <c r="I257" s="36">
        <f t="shared" si="3"/>
        <v>1.81</v>
      </c>
      <c r="L257" s="282"/>
      <c r="M257" s="282"/>
      <c r="N257" s="282"/>
      <c r="O257" s="282"/>
      <c r="P257" s="282"/>
      <c r="Q257" s="282"/>
      <c r="R257" s="282"/>
    </row>
    <row r="258" spans="1:18" x14ac:dyDescent="0.2">
      <c r="A258" s="288"/>
      <c r="B258" s="265"/>
      <c r="C258" s="273" t="s">
        <v>604</v>
      </c>
      <c r="D258" s="44"/>
      <c r="E258" s="36">
        <v>1</v>
      </c>
      <c r="F258" s="36">
        <v>4.8499999999999996</v>
      </c>
      <c r="G258" s="36">
        <v>0.2</v>
      </c>
      <c r="H258" s="36">
        <v>0.4</v>
      </c>
      <c r="I258" s="36">
        <f t="shared" si="3"/>
        <v>4.8499999999999996</v>
      </c>
      <c r="L258" s="282"/>
      <c r="M258" s="282"/>
      <c r="N258" s="282"/>
      <c r="O258" s="282"/>
      <c r="P258" s="282"/>
      <c r="Q258" s="282"/>
      <c r="R258" s="282"/>
    </row>
    <row r="259" spans="1:18" x14ac:dyDescent="0.2">
      <c r="A259" s="288"/>
      <c r="B259" s="265"/>
      <c r="C259" s="273" t="s">
        <v>605</v>
      </c>
      <c r="D259" s="44"/>
      <c r="E259" s="36">
        <v>1</v>
      </c>
      <c r="F259" s="36">
        <v>1.8</v>
      </c>
      <c r="G259" s="36">
        <v>0.2</v>
      </c>
      <c r="H259" s="36">
        <v>0.4</v>
      </c>
      <c r="I259" s="36">
        <f t="shared" si="3"/>
        <v>1.8</v>
      </c>
      <c r="L259" s="282"/>
      <c r="M259" s="282"/>
      <c r="N259" s="282"/>
      <c r="O259" s="282"/>
      <c r="P259" s="282"/>
      <c r="Q259" s="282"/>
      <c r="R259" s="282"/>
    </row>
    <row r="260" spans="1:18" x14ac:dyDescent="0.2">
      <c r="A260" s="288"/>
      <c r="B260" s="265"/>
      <c r="C260" s="273" t="s">
        <v>606</v>
      </c>
      <c r="D260" s="44"/>
      <c r="E260" s="36">
        <v>1</v>
      </c>
      <c r="F260" s="36">
        <f>24.15-2.1-1.9</f>
        <v>20.149999999999999</v>
      </c>
      <c r="G260" s="36">
        <v>0.2</v>
      </c>
      <c r="H260" s="36">
        <v>0.4</v>
      </c>
      <c r="I260" s="36">
        <f t="shared" si="3"/>
        <v>20.149999999999999</v>
      </c>
      <c r="L260" s="282"/>
      <c r="M260" s="282"/>
      <c r="N260" s="282"/>
      <c r="O260" s="282"/>
      <c r="P260" s="282"/>
      <c r="Q260" s="282"/>
      <c r="R260" s="282"/>
    </row>
    <row r="261" spans="1:18" x14ac:dyDescent="0.2">
      <c r="A261" s="288"/>
      <c r="B261" s="265"/>
      <c r="C261" s="273" t="s">
        <v>607</v>
      </c>
      <c r="D261" s="44"/>
      <c r="E261" s="36">
        <v>1</v>
      </c>
      <c r="F261" s="36">
        <v>4.6500000000000004</v>
      </c>
      <c r="G261" s="36">
        <v>0.2</v>
      </c>
      <c r="H261" s="36">
        <v>0.4</v>
      </c>
      <c r="I261" s="36">
        <f t="shared" si="3"/>
        <v>4.6500000000000004</v>
      </c>
      <c r="L261" s="282"/>
      <c r="M261" s="282"/>
      <c r="N261" s="282"/>
      <c r="O261" s="282"/>
      <c r="P261" s="282"/>
      <c r="Q261" s="282"/>
      <c r="R261" s="282"/>
    </row>
    <row r="262" spans="1:18" x14ac:dyDescent="0.2">
      <c r="A262" s="288"/>
      <c r="B262" s="265"/>
      <c r="C262" s="273" t="s">
        <v>608</v>
      </c>
      <c r="D262" s="44"/>
      <c r="E262" s="36">
        <v>1</v>
      </c>
      <c r="F262" s="36">
        <v>1.65</v>
      </c>
      <c r="G262" s="36">
        <v>0.15</v>
      </c>
      <c r="H262" s="36">
        <v>0.4</v>
      </c>
      <c r="I262" s="36">
        <f t="shared" si="3"/>
        <v>1.57</v>
      </c>
      <c r="L262" s="282"/>
      <c r="M262" s="282"/>
      <c r="N262" s="282"/>
      <c r="O262" s="282"/>
      <c r="P262" s="282"/>
      <c r="Q262" s="282"/>
      <c r="R262" s="282"/>
    </row>
    <row r="263" spans="1:18" x14ac:dyDescent="0.2">
      <c r="A263" s="288"/>
      <c r="B263" s="265"/>
      <c r="C263" s="273" t="s">
        <v>609</v>
      </c>
      <c r="D263" s="44"/>
      <c r="E263" s="36">
        <v>1</v>
      </c>
      <c r="F263" s="36">
        <v>1.8</v>
      </c>
      <c r="G263" s="36">
        <v>0.2</v>
      </c>
      <c r="H263" s="36">
        <v>0.4</v>
      </c>
      <c r="I263" s="36">
        <f t="shared" si="3"/>
        <v>1.8</v>
      </c>
      <c r="L263" s="282"/>
      <c r="M263" s="282"/>
      <c r="N263" s="282"/>
      <c r="O263" s="282"/>
      <c r="P263" s="282"/>
      <c r="Q263" s="282"/>
      <c r="R263" s="282"/>
    </row>
    <row r="264" spans="1:18" x14ac:dyDescent="0.2">
      <c r="A264" s="288"/>
      <c r="B264" s="265"/>
      <c r="C264" s="273" t="s">
        <v>610</v>
      </c>
      <c r="D264" s="44"/>
      <c r="E264" s="36">
        <v>1</v>
      </c>
      <c r="F264" s="36">
        <f>24.15-2.1</f>
        <v>22.049999999999997</v>
      </c>
      <c r="G264" s="36">
        <v>0.2</v>
      </c>
      <c r="H264" s="36">
        <v>0.4</v>
      </c>
      <c r="I264" s="36">
        <f t="shared" si="3"/>
        <v>22.05</v>
      </c>
      <c r="L264" s="282"/>
      <c r="M264" s="282"/>
      <c r="N264" s="282"/>
      <c r="O264" s="282"/>
      <c r="P264" s="282"/>
      <c r="Q264" s="282"/>
      <c r="R264" s="282"/>
    </row>
    <row r="265" spans="1:18" x14ac:dyDescent="0.2">
      <c r="A265" s="288"/>
      <c r="B265" s="265"/>
      <c r="C265" s="273" t="s">
        <v>611</v>
      </c>
      <c r="D265" s="44"/>
      <c r="E265" s="36">
        <v>1</v>
      </c>
      <c r="F265" s="36">
        <v>2.65</v>
      </c>
      <c r="G265" s="36">
        <v>0.2</v>
      </c>
      <c r="H265" s="36">
        <v>0.4</v>
      </c>
      <c r="I265" s="36">
        <f t="shared" si="3"/>
        <v>2.65</v>
      </c>
      <c r="L265" s="282"/>
      <c r="M265" s="282"/>
      <c r="N265" s="282"/>
      <c r="O265" s="282"/>
      <c r="P265" s="282"/>
      <c r="Q265" s="282"/>
      <c r="R265" s="282"/>
    </row>
    <row r="266" spans="1:18" x14ac:dyDescent="0.2">
      <c r="A266" s="288"/>
      <c r="B266" s="265"/>
      <c r="C266" s="273" t="s">
        <v>612</v>
      </c>
      <c r="D266" s="44"/>
      <c r="E266" s="36">
        <v>1</v>
      </c>
      <c r="F266" s="36">
        <f>1.35+3.18+1.47+3.05</f>
        <v>9.0500000000000007</v>
      </c>
      <c r="G266" s="36">
        <v>0.2</v>
      </c>
      <c r="H266" s="36">
        <v>0.4</v>
      </c>
      <c r="I266" s="36">
        <f t="shared" si="3"/>
        <v>9.0500000000000007</v>
      </c>
      <c r="L266" s="282"/>
      <c r="M266" s="282"/>
      <c r="N266" s="282"/>
      <c r="O266" s="282"/>
      <c r="P266" s="282"/>
      <c r="Q266" s="282"/>
      <c r="R266" s="282"/>
    </row>
    <row r="267" spans="1:18" x14ac:dyDescent="0.2">
      <c r="A267" s="288"/>
      <c r="B267" s="265"/>
      <c r="C267" s="273" t="s">
        <v>613</v>
      </c>
      <c r="D267" s="44"/>
      <c r="E267" s="36">
        <v>1</v>
      </c>
      <c r="F267" s="36">
        <f>2.8+2.8+3.94</f>
        <v>9.5399999999999991</v>
      </c>
      <c r="G267" s="36">
        <v>0.2</v>
      </c>
      <c r="H267" s="36">
        <v>0.4</v>
      </c>
      <c r="I267" s="36">
        <f t="shared" si="3"/>
        <v>9.5399999999999991</v>
      </c>
      <c r="L267" s="282"/>
      <c r="M267" s="282"/>
      <c r="N267" s="282"/>
      <c r="O267" s="282"/>
      <c r="P267" s="282"/>
      <c r="Q267" s="282"/>
      <c r="R267" s="282"/>
    </row>
    <row r="268" spans="1:18" x14ac:dyDescent="0.2">
      <c r="A268" s="288"/>
      <c r="B268" s="265"/>
      <c r="C268" s="273" t="s">
        <v>614</v>
      </c>
      <c r="D268" s="44"/>
      <c r="E268" s="36">
        <v>1</v>
      </c>
      <c r="F268" s="36">
        <f>45.97-2.4</f>
        <v>43.57</v>
      </c>
      <c r="G268" s="36">
        <v>0.2</v>
      </c>
      <c r="H268" s="36">
        <v>0.4</v>
      </c>
      <c r="I268" s="36">
        <f t="shared" si="3"/>
        <v>43.57</v>
      </c>
      <c r="L268" s="282"/>
      <c r="M268" s="282"/>
      <c r="N268" s="282"/>
      <c r="O268" s="282"/>
      <c r="P268" s="282"/>
      <c r="Q268" s="282"/>
      <c r="R268" s="282"/>
    </row>
    <row r="269" spans="1:18" x14ac:dyDescent="0.2">
      <c r="A269" s="288"/>
      <c r="B269" s="265"/>
      <c r="C269" s="273" t="s">
        <v>615</v>
      </c>
      <c r="D269" s="44"/>
      <c r="E269" s="36">
        <v>1</v>
      </c>
      <c r="F269" s="36">
        <f>45.97-1.8-1.2</f>
        <v>42.97</v>
      </c>
      <c r="G269" s="36">
        <v>0.2</v>
      </c>
      <c r="H269" s="36">
        <v>0.5</v>
      </c>
      <c r="I269" s="36">
        <f t="shared" si="3"/>
        <v>51.56</v>
      </c>
      <c r="L269" s="282"/>
      <c r="M269" s="282"/>
      <c r="N269" s="282"/>
      <c r="O269" s="282"/>
      <c r="P269" s="282"/>
      <c r="Q269" s="282"/>
      <c r="R269" s="282"/>
    </row>
    <row r="270" spans="1:18" x14ac:dyDescent="0.2">
      <c r="A270" s="288"/>
      <c r="B270" s="265"/>
      <c r="C270" s="273" t="s">
        <v>616</v>
      </c>
      <c r="D270" s="44"/>
      <c r="E270" s="36">
        <v>1</v>
      </c>
      <c r="F270" s="36">
        <f>45.97-1.2-1.8</f>
        <v>42.97</v>
      </c>
      <c r="G270" s="36">
        <v>0.2</v>
      </c>
      <c r="H270" s="36">
        <v>0.5</v>
      </c>
      <c r="I270" s="36">
        <f t="shared" si="3"/>
        <v>51.56</v>
      </c>
      <c r="L270" s="282"/>
      <c r="M270" s="282"/>
      <c r="N270" s="282"/>
      <c r="O270" s="282"/>
      <c r="P270" s="282"/>
      <c r="Q270" s="282"/>
      <c r="R270" s="282"/>
    </row>
    <row r="271" spans="1:18" x14ac:dyDescent="0.2">
      <c r="A271" s="288"/>
      <c r="B271" s="265"/>
      <c r="C271" s="273" t="s">
        <v>617</v>
      </c>
      <c r="D271" s="44"/>
      <c r="E271" s="36">
        <v>1</v>
      </c>
      <c r="F271" s="36">
        <f>14.25-1.35</f>
        <v>12.9</v>
      </c>
      <c r="G271" s="36">
        <v>0.2</v>
      </c>
      <c r="H271" s="36">
        <v>0.4</v>
      </c>
      <c r="I271" s="36">
        <f t="shared" si="3"/>
        <v>12.9</v>
      </c>
      <c r="L271" s="282"/>
      <c r="M271" s="282"/>
      <c r="N271" s="282"/>
      <c r="O271" s="282"/>
      <c r="P271" s="282"/>
      <c r="Q271" s="282"/>
      <c r="R271" s="282"/>
    </row>
    <row r="272" spans="1:18" x14ac:dyDescent="0.2">
      <c r="A272" s="288"/>
      <c r="B272" s="265"/>
      <c r="C272" s="273" t="s">
        <v>618</v>
      </c>
      <c r="D272" s="44"/>
      <c r="E272" s="36">
        <v>1</v>
      </c>
      <c r="F272" s="36">
        <v>1.55</v>
      </c>
      <c r="G272" s="36">
        <v>0.15</v>
      </c>
      <c r="H272" s="36">
        <v>0.4</v>
      </c>
      <c r="I272" s="36">
        <f t="shared" si="3"/>
        <v>1.47</v>
      </c>
      <c r="L272" s="282"/>
      <c r="M272" s="282"/>
      <c r="N272" s="282"/>
      <c r="O272" s="282"/>
      <c r="P272" s="282"/>
      <c r="Q272" s="282"/>
      <c r="R272" s="282"/>
    </row>
    <row r="273" spans="1:18" x14ac:dyDescent="0.2">
      <c r="A273" s="288"/>
      <c r="B273" s="265"/>
      <c r="C273" s="273" t="s">
        <v>619</v>
      </c>
      <c r="D273" s="44"/>
      <c r="E273" s="36">
        <v>1</v>
      </c>
      <c r="F273" s="36">
        <f>13.55-0.8</f>
        <v>12.75</v>
      </c>
      <c r="G273" s="36">
        <v>0.2</v>
      </c>
      <c r="H273" s="36">
        <v>0.4</v>
      </c>
      <c r="I273" s="36">
        <f t="shared" si="3"/>
        <v>12.75</v>
      </c>
      <c r="L273" s="282"/>
      <c r="M273" s="282"/>
      <c r="N273" s="282"/>
      <c r="O273" s="282"/>
      <c r="P273" s="282"/>
      <c r="Q273" s="282"/>
      <c r="R273" s="282"/>
    </row>
    <row r="274" spans="1:18" x14ac:dyDescent="0.2">
      <c r="A274" s="288"/>
      <c r="B274" s="265"/>
      <c r="C274" s="273" t="s">
        <v>620</v>
      </c>
      <c r="D274" s="44"/>
      <c r="E274" s="36">
        <v>1</v>
      </c>
      <c r="F274" s="36">
        <v>1.55</v>
      </c>
      <c r="G274" s="36">
        <v>0.15</v>
      </c>
      <c r="H274" s="36">
        <v>0.4</v>
      </c>
      <c r="I274" s="36">
        <f t="shared" si="3"/>
        <v>1.47</v>
      </c>
      <c r="L274" s="282"/>
      <c r="M274" s="282"/>
      <c r="N274" s="282"/>
      <c r="O274" s="282"/>
      <c r="P274" s="282"/>
      <c r="Q274" s="282"/>
      <c r="R274" s="282"/>
    </row>
    <row r="275" spans="1:18" x14ac:dyDescent="0.2">
      <c r="A275" s="288"/>
      <c r="B275" s="265"/>
      <c r="C275" s="273" t="s">
        <v>621</v>
      </c>
      <c r="D275" s="44"/>
      <c r="E275" s="36">
        <v>1</v>
      </c>
      <c r="F275" s="36">
        <f>13.55-0.8</f>
        <v>12.75</v>
      </c>
      <c r="G275" s="36">
        <v>0.2</v>
      </c>
      <c r="H275" s="36">
        <v>0.4</v>
      </c>
      <c r="I275" s="36">
        <f t="shared" si="3"/>
        <v>12.75</v>
      </c>
      <c r="L275" s="282"/>
      <c r="M275" s="282"/>
      <c r="N275" s="282"/>
      <c r="O275" s="282"/>
      <c r="P275" s="282"/>
      <c r="Q275" s="282"/>
      <c r="R275" s="282"/>
    </row>
    <row r="276" spans="1:18" x14ac:dyDescent="0.2">
      <c r="A276" s="288"/>
      <c r="B276" s="265"/>
      <c r="C276" s="273" t="s">
        <v>622</v>
      </c>
      <c r="D276" s="44"/>
      <c r="E276" s="36">
        <v>1</v>
      </c>
      <c r="F276" s="36">
        <v>1.55</v>
      </c>
      <c r="G276" s="36">
        <v>0.15</v>
      </c>
      <c r="H276" s="36">
        <v>0.4</v>
      </c>
      <c r="I276" s="36">
        <f t="shared" si="3"/>
        <v>1.47</v>
      </c>
      <c r="L276" s="282"/>
      <c r="M276" s="282"/>
      <c r="N276" s="282"/>
      <c r="O276" s="282"/>
      <c r="P276" s="282"/>
      <c r="Q276" s="282"/>
      <c r="R276" s="282"/>
    </row>
    <row r="277" spans="1:18" x14ac:dyDescent="0.2">
      <c r="A277" s="288"/>
      <c r="B277" s="265"/>
      <c r="C277" s="273" t="s">
        <v>623</v>
      </c>
      <c r="D277" s="44"/>
      <c r="E277" s="36">
        <v>1</v>
      </c>
      <c r="F277" s="36">
        <f>24.15-2.1</f>
        <v>22.049999999999997</v>
      </c>
      <c r="G277" s="36">
        <v>0.2</v>
      </c>
      <c r="H277" s="36">
        <v>0.4</v>
      </c>
      <c r="I277" s="36">
        <f t="shared" si="3"/>
        <v>22.05</v>
      </c>
      <c r="L277" s="282"/>
      <c r="M277" s="282"/>
      <c r="N277" s="282"/>
      <c r="O277" s="282"/>
      <c r="P277" s="282"/>
      <c r="Q277" s="282"/>
      <c r="R277" s="282"/>
    </row>
    <row r="278" spans="1:18" x14ac:dyDescent="0.2">
      <c r="A278" s="288"/>
      <c r="B278" s="265"/>
      <c r="C278" s="273" t="s">
        <v>624</v>
      </c>
      <c r="D278" s="44"/>
      <c r="E278" s="36">
        <v>1</v>
      </c>
      <c r="F278" s="36">
        <f>24.15-2.1-1.9</f>
        <v>20.149999999999999</v>
      </c>
      <c r="G278" s="36">
        <v>0.2</v>
      </c>
      <c r="H278" s="36">
        <v>0.4</v>
      </c>
      <c r="I278" s="36">
        <f t="shared" si="3"/>
        <v>20.149999999999999</v>
      </c>
      <c r="L278" s="282"/>
      <c r="M278" s="282"/>
      <c r="N278" s="282"/>
      <c r="O278" s="282"/>
      <c r="P278" s="282"/>
      <c r="Q278" s="282"/>
      <c r="R278" s="282"/>
    </row>
    <row r="279" spans="1:18" x14ac:dyDescent="0.2">
      <c r="A279" s="288"/>
      <c r="B279" s="265"/>
      <c r="C279" s="273" t="s">
        <v>625</v>
      </c>
      <c r="D279" s="44"/>
      <c r="E279" s="36">
        <v>1</v>
      </c>
      <c r="F279" s="36">
        <v>1.55</v>
      </c>
      <c r="G279" s="36">
        <v>0.15</v>
      </c>
      <c r="H279" s="36">
        <v>0.4</v>
      </c>
      <c r="I279" s="36">
        <f t="shared" si="3"/>
        <v>1.47</v>
      </c>
      <c r="L279" s="282"/>
      <c r="M279" s="282"/>
      <c r="N279" s="282"/>
      <c r="O279" s="282"/>
      <c r="P279" s="282"/>
      <c r="Q279" s="282"/>
      <c r="R279" s="282"/>
    </row>
    <row r="280" spans="1:18" x14ac:dyDescent="0.2">
      <c r="A280" s="288"/>
      <c r="B280" s="265"/>
      <c r="C280" s="273" t="s">
        <v>626</v>
      </c>
      <c r="D280" s="44"/>
      <c r="E280" s="36">
        <v>1</v>
      </c>
      <c r="F280" s="36">
        <v>1.89</v>
      </c>
      <c r="G280" s="36">
        <v>0.15</v>
      </c>
      <c r="H280" s="36">
        <v>0.4</v>
      </c>
      <c r="I280" s="36">
        <f>ROUND(((H280+H280+G280)*F280)*E280,2)</f>
        <v>1.8</v>
      </c>
      <c r="L280" s="282"/>
      <c r="M280" s="282"/>
      <c r="N280" s="282"/>
      <c r="O280" s="282"/>
      <c r="P280" s="282"/>
      <c r="Q280" s="282"/>
      <c r="R280" s="282"/>
    </row>
    <row r="281" spans="1:18" x14ac:dyDescent="0.2">
      <c r="A281" s="288"/>
      <c r="B281" s="265"/>
      <c r="C281" s="273" t="s">
        <v>627</v>
      </c>
      <c r="D281" s="44"/>
      <c r="E281" s="36">
        <v>1</v>
      </c>
      <c r="F281" s="36">
        <f>11.25-0.8</f>
        <v>10.45</v>
      </c>
      <c r="G281" s="36">
        <v>0.2</v>
      </c>
      <c r="H281" s="36">
        <v>0.4</v>
      </c>
      <c r="I281" s="36">
        <f>ROUND(((H281+H281+G281)*F281)*E281,2)</f>
        <v>10.45</v>
      </c>
      <c r="L281" s="282"/>
      <c r="M281" s="282"/>
      <c r="N281" s="282"/>
      <c r="O281" s="282"/>
      <c r="P281" s="282"/>
      <c r="Q281" s="282"/>
      <c r="R281" s="282"/>
    </row>
    <row r="282" spans="1:18" x14ac:dyDescent="0.2">
      <c r="A282" s="288"/>
      <c r="B282" s="265"/>
      <c r="C282" s="273" t="s">
        <v>628</v>
      </c>
      <c r="D282" s="44"/>
      <c r="E282" s="36">
        <v>1</v>
      </c>
      <c r="F282" s="36">
        <v>1.55</v>
      </c>
      <c r="G282" s="36">
        <v>0.15</v>
      </c>
      <c r="H282" s="36">
        <v>0.4</v>
      </c>
      <c r="I282" s="36">
        <f t="shared" si="3"/>
        <v>1.47</v>
      </c>
      <c r="L282" s="282"/>
      <c r="M282" s="282"/>
      <c r="N282" s="282"/>
      <c r="O282" s="282"/>
      <c r="P282" s="282"/>
      <c r="Q282" s="282"/>
      <c r="R282" s="282"/>
    </row>
    <row r="283" spans="1:18" x14ac:dyDescent="0.2">
      <c r="A283" s="288"/>
      <c r="B283" s="265"/>
      <c r="C283" s="273" t="s">
        <v>629</v>
      </c>
      <c r="D283" s="44"/>
      <c r="E283" s="36">
        <v>1</v>
      </c>
      <c r="F283" s="36">
        <v>1.89</v>
      </c>
      <c r="G283" s="36">
        <v>0.15</v>
      </c>
      <c r="H283" s="36">
        <v>0.4</v>
      </c>
      <c r="I283" s="36">
        <f t="shared" si="3"/>
        <v>1.8</v>
      </c>
      <c r="L283" s="282"/>
      <c r="M283" s="282"/>
      <c r="N283" s="282"/>
      <c r="O283" s="282"/>
      <c r="P283" s="282"/>
      <c r="Q283" s="282"/>
      <c r="R283" s="282"/>
    </row>
    <row r="284" spans="1:18" x14ac:dyDescent="0.2">
      <c r="A284" s="288"/>
      <c r="B284" s="265"/>
      <c r="C284" s="273" t="s">
        <v>630</v>
      </c>
      <c r="D284" s="44"/>
      <c r="E284" s="36">
        <v>1</v>
      </c>
      <c r="F284" s="36">
        <v>4.8499999999999996</v>
      </c>
      <c r="G284" s="36">
        <v>0.2</v>
      </c>
      <c r="H284" s="36">
        <v>0.4</v>
      </c>
      <c r="I284" s="36">
        <f t="shared" si="3"/>
        <v>4.8499999999999996</v>
      </c>
      <c r="L284" s="282"/>
      <c r="M284" s="282"/>
      <c r="N284" s="282"/>
      <c r="O284" s="282"/>
      <c r="P284" s="282"/>
      <c r="Q284" s="282"/>
      <c r="R284" s="282"/>
    </row>
    <row r="285" spans="1:18" x14ac:dyDescent="0.2">
      <c r="A285" s="288"/>
      <c r="B285" s="265"/>
      <c r="C285" s="273" t="s">
        <v>631</v>
      </c>
      <c r="D285" s="44"/>
      <c r="E285" s="36">
        <v>1</v>
      </c>
      <c r="F285" s="36">
        <v>1.8</v>
      </c>
      <c r="G285" s="36">
        <v>0.2</v>
      </c>
      <c r="H285" s="36">
        <v>0.4</v>
      </c>
      <c r="I285" s="36">
        <f t="shared" si="3"/>
        <v>1.8</v>
      </c>
      <c r="L285" s="282"/>
      <c r="M285" s="282"/>
      <c r="N285" s="282"/>
      <c r="O285" s="282"/>
      <c r="P285" s="282"/>
      <c r="Q285" s="282"/>
      <c r="R285" s="282"/>
    </row>
    <row r="286" spans="1:18" x14ac:dyDescent="0.2">
      <c r="A286" s="288"/>
      <c r="B286" s="265"/>
      <c r="C286" s="273" t="s">
        <v>632</v>
      </c>
      <c r="D286" s="44"/>
      <c r="E286" s="36">
        <v>1</v>
      </c>
      <c r="F286" s="36">
        <f>11.25-0.8</f>
        <v>10.45</v>
      </c>
      <c r="G286" s="36">
        <v>0.2</v>
      </c>
      <c r="H286" s="36">
        <v>0.4</v>
      </c>
      <c r="I286" s="36">
        <f t="shared" si="3"/>
        <v>10.45</v>
      </c>
      <c r="L286" s="282"/>
      <c r="M286" s="282"/>
      <c r="N286" s="282"/>
      <c r="O286" s="282"/>
      <c r="P286" s="282"/>
      <c r="Q286" s="282"/>
      <c r="R286" s="282"/>
    </row>
    <row r="287" spans="1:18" x14ac:dyDescent="0.2">
      <c r="A287" s="288"/>
      <c r="B287" s="265"/>
      <c r="C287" s="273" t="s">
        <v>633</v>
      </c>
      <c r="D287" s="44"/>
      <c r="E287" s="36">
        <v>1</v>
      </c>
      <c r="F287" s="36">
        <v>4.6500000000000004</v>
      </c>
      <c r="G287" s="36">
        <v>0.2</v>
      </c>
      <c r="H287" s="36">
        <v>0.4</v>
      </c>
      <c r="I287" s="36">
        <f t="shared" si="3"/>
        <v>4.6500000000000004</v>
      </c>
      <c r="L287" s="282"/>
      <c r="M287" s="282"/>
      <c r="N287" s="282"/>
      <c r="O287" s="282"/>
      <c r="P287" s="282"/>
      <c r="Q287" s="282"/>
      <c r="R287" s="282"/>
    </row>
    <row r="288" spans="1:18" x14ac:dyDescent="0.2">
      <c r="A288" s="288"/>
      <c r="B288" s="265"/>
      <c r="C288" s="273" t="s">
        <v>634</v>
      </c>
      <c r="D288" s="44"/>
      <c r="E288" s="36">
        <v>1</v>
      </c>
      <c r="F288" s="36">
        <v>1.55</v>
      </c>
      <c r="G288" s="36">
        <v>0.15</v>
      </c>
      <c r="H288" s="36">
        <v>0.4</v>
      </c>
      <c r="I288" s="36">
        <f t="shared" si="3"/>
        <v>1.47</v>
      </c>
      <c r="L288" s="282"/>
      <c r="M288" s="282"/>
      <c r="N288" s="282"/>
      <c r="O288" s="282"/>
      <c r="P288" s="282"/>
      <c r="Q288" s="282"/>
      <c r="R288" s="282"/>
    </row>
    <row r="289" spans="1:31" x14ac:dyDescent="0.2">
      <c r="A289" s="288"/>
      <c r="B289" s="265"/>
      <c r="C289" s="273" t="s">
        <v>635</v>
      </c>
      <c r="D289" s="44"/>
      <c r="E289" s="36">
        <v>1</v>
      </c>
      <c r="F289" s="36">
        <v>1.8</v>
      </c>
      <c r="G289" s="36">
        <v>0.2</v>
      </c>
      <c r="H289" s="36">
        <v>0.4</v>
      </c>
      <c r="I289" s="36">
        <f t="shared" si="3"/>
        <v>1.8</v>
      </c>
      <c r="L289" s="282"/>
      <c r="M289" s="282"/>
      <c r="N289" s="282"/>
      <c r="O289" s="282"/>
      <c r="P289" s="282"/>
      <c r="Q289" s="282"/>
      <c r="R289" s="282"/>
    </row>
    <row r="290" spans="1:31" x14ac:dyDescent="0.2">
      <c r="A290" s="288"/>
      <c r="B290" s="265"/>
      <c r="C290" s="273" t="s">
        <v>636</v>
      </c>
      <c r="D290" s="44"/>
      <c r="E290" s="36">
        <v>1</v>
      </c>
      <c r="F290" s="36">
        <f>13.55-0.8</f>
        <v>12.75</v>
      </c>
      <c r="G290" s="36">
        <v>0.2</v>
      </c>
      <c r="H290" s="36">
        <v>0.4</v>
      </c>
      <c r="I290" s="36">
        <f t="shared" si="3"/>
        <v>12.75</v>
      </c>
      <c r="L290" s="282"/>
      <c r="M290" s="282"/>
      <c r="N290" s="282"/>
      <c r="O290" s="282"/>
      <c r="P290" s="282"/>
      <c r="Q290" s="282"/>
      <c r="R290" s="282"/>
    </row>
    <row r="291" spans="1:31" x14ac:dyDescent="0.2">
      <c r="A291" s="288"/>
      <c r="B291" s="265"/>
      <c r="C291" s="273" t="s">
        <v>637</v>
      </c>
      <c r="D291" s="44"/>
      <c r="E291" s="36">
        <v>1</v>
      </c>
      <c r="F291" s="36">
        <v>4.8499999999999996</v>
      </c>
      <c r="G291" s="36">
        <v>0.2</v>
      </c>
      <c r="H291" s="36">
        <v>0.4</v>
      </c>
      <c r="I291" s="36">
        <f t="shared" si="3"/>
        <v>4.8499999999999996</v>
      </c>
      <c r="L291" s="282"/>
      <c r="M291" s="282"/>
      <c r="N291" s="282"/>
      <c r="O291" s="282"/>
      <c r="P291" s="282"/>
      <c r="Q291" s="282"/>
      <c r="R291" s="282"/>
    </row>
    <row r="292" spans="1:31" x14ac:dyDescent="0.2">
      <c r="A292" s="288"/>
      <c r="B292" s="265"/>
      <c r="C292" s="273" t="s">
        <v>638</v>
      </c>
      <c r="D292" s="44"/>
      <c r="E292" s="36">
        <v>1</v>
      </c>
      <c r="F292" s="36">
        <f>46-2.1</f>
        <v>43.9</v>
      </c>
      <c r="G292" s="36">
        <v>0.2</v>
      </c>
      <c r="H292" s="36">
        <v>0.4</v>
      </c>
      <c r="I292" s="36">
        <f>ROUND(((H292+H292+G292)*F292)*E292,2)</f>
        <v>43.9</v>
      </c>
      <c r="L292" s="282"/>
      <c r="M292" s="282"/>
      <c r="N292" s="282"/>
      <c r="O292" s="282"/>
      <c r="P292" s="282"/>
      <c r="Q292" s="282"/>
      <c r="R292" s="282"/>
    </row>
    <row r="293" spans="1:31" x14ac:dyDescent="0.2">
      <c r="A293" s="288"/>
      <c r="B293" s="265"/>
      <c r="C293" s="273" t="s">
        <v>639</v>
      </c>
      <c r="D293" s="44"/>
      <c r="E293" s="36">
        <v>1</v>
      </c>
      <c r="F293" s="36">
        <f>11.45-0.4</f>
        <v>11.049999999999999</v>
      </c>
      <c r="G293" s="36">
        <v>0.15</v>
      </c>
      <c r="H293" s="36">
        <v>0.3</v>
      </c>
      <c r="I293" s="36">
        <f>ROUND(((H293+H293+G293)*F293)*E293,2)</f>
        <v>8.2899999999999991</v>
      </c>
      <c r="L293" s="282"/>
      <c r="M293" s="282"/>
      <c r="N293" s="282"/>
      <c r="O293" s="282"/>
      <c r="P293" s="282"/>
      <c r="Q293" s="282"/>
      <c r="R293" s="282"/>
    </row>
    <row r="294" spans="1:31" x14ac:dyDescent="0.2">
      <c r="A294" s="288"/>
      <c r="B294" s="265"/>
      <c r="C294" s="273" t="s">
        <v>640</v>
      </c>
      <c r="D294" s="44"/>
      <c r="E294" s="36">
        <v>1</v>
      </c>
      <c r="F294" s="36">
        <f>11.45-0.4</f>
        <v>11.049999999999999</v>
      </c>
      <c r="G294" s="36">
        <v>0.15</v>
      </c>
      <c r="H294" s="36">
        <v>0.3</v>
      </c>
      <c r="I294" s="36">
        <f>ROUND(((H294+H294+G294)*F294)*E294,2)</f>
        <v>8.2899999999999991</v>
      </c>
      <c r="L294" s="282"/>
      <c r="M294" s="282"/>
      <c r="N294" s="282"/>
      <c r="O294" s="282"/>
      <c r="P294" s="282"/>
      <c r="Q294" s="282"/>
      <c r="R294" s="282"/>
    </row>
    <row r="295" spans="1:31" x14ac:dyDescent="0.2">
      <c r="A295" s="288"/>
      <c r="B295" s="265"/>
      <c r="C295" s="273"/>
      <c r="D295" s="44"/>
      <c r="E295" s="36"/>
      <c r="F295" s="36" t="s">
        <v>201</v>
      </c>
      <c r="G295" s="36"/>
      <c r="H295" s="36"/>
      <c r="I295" s="36"/>
      <c r="L295" s="324"/>
      <c r="M295" s="324"/>
      <c r="N295" s="324"/>
      <c r="O295" s="324"/>
      <c r="P295" s="324"/>
      <c r="Q295" s="324"/>
      <c r="R295" s="324"/>
    </row>
    <row r="296" spans="1:31" x14ac:dyDescent="0.2">
      <c r="A296" s="288"/>
      <c r="B296" s="265"/>
      <c r="C296" s="273" t="s">
        <v>841</v>
      </c>
      <c r="D296" s="44"/>
      <c r="E296" s="36">
        <v>-1</v>
      </c>
      <c r="F296" s="36">
        <v>287.82</v>
      </c>
      <c r="G296" s="36"/>
      <c r="H296" s="36"/>
      <c r="I296" s="36">
        <f>ROUND(PRODUCT(E296:H296),2)</f>
        <v>-287.82</v>
      </c>
      <c r="L296" s="324"/>
      <c r="M296" s="324"/>
      <c r="N296" s="324"/>
      <c r="O296" s="324"/>
      <c r="P296" s="324"/>
      <c r="Q296" s="324"/>
      <c r="R296" s="324"/>
    </row>
    <row r="297" spans="1:31" x14ac:dyDescent="0.2">
      <c r="A297" s="288"/>
      <c r="B297" s="265"/>
      <c r="C297" s="45" t="str">
        <f>"Total item "&amp;A234</f>
        <v>Total item 5.2</v>
      </c>
      <c r="D297" s="44"/>
      <c r="E297" s="36"/>
      <c r="F297" s="36"/>
      <c r="G297" s="36"/>
      <c r="H297" s="36"/>
      <c r="I297" s="19">
        <f>SUM(I235:I296)</f>
        <v>621.31999999999971</v>
      </c>
    </row>
    <row r="298" spans="1:31" x14ac:dyDescent="0.2">
      <c r="A298" s="288"/>
      <c r="B298" s="265"/>
      <c r="C298" s="266"/>
      <c r="D298" s="33"/>
      <c r="E298" s="267"/>
      <c r="F298" s="267"/>
      <c r="G298" s="267"/>
      <c r="H298" s="267"/>
      <c r="I298" s="267"/>
    </row>
    <row r="299" spans="1:31" s="31" customFormat="1" ht="33.75" x14ac:dyDescent="0.2">
      <c r="A299" s="268" t="s">
        <v>16</v>
      </c>
      <c r="B299" s="269" t="s">
        <v>59</v>
      </c>
      <c r="C299" s="294" t="s">
        <v>372</v>
      </c>
      <c r="D299" s="271" t="s">
        <v>368</v>
      </c>
      <c r="E299" s="19"/>
      <c r="F299" s="19"/>
      <c r="G299" s="19"/>
      <c r="H299" s="19"/>
      <c r="I299" s="19"/>
      <c r="AE299" s="31" t="s">
        <v>127</v>
      </c>
    </row>
    <row r="300" spans="1:31" ht="22.5" x14ac:dyDescent="0.2">
      <c r="A300" s="288"/>
      <c r="B300" s="265"/>
      <c r="C300" s="45" t="s">
        <v>366</v>
      </c>
      <c r="D300" s="44"/>
      <c r="E300" s="293"/>
      <c r="F300" s="293"/>
      <c r="G300" s="36"/>
      <c r="H300" s="36"/>
      <c r="I300" s="36"/>
      <c r="L300" s="282" t="s">
        <v>102</v>
      </c>
      <c r="M300" s="282" t="s">
        <v>103</v>
      </c>
      <c r="N300" s="282" t="s">
        <v>104</v>
      </c>
      <c r="O300" s="282" t="s">
        <v>105</v>
      </c>
      <c r="P300" s="282" t="s">
        <v>106</v>
      </c>
      <c r="Q300" s="282" t="s">
        <v>107</v>
      </c>
      <c r="R300" s="282" t="s">
        <v>114</v>
      </c>
    </row>
    <row r="301" spans="1:31" x14ac:dyDescent="0.2">
      <c r="A301" s="288"/>
      <c r="B301" s="265"/>
      <c r="C301" s="45" t="s">
        <v>299</v>
      </c>
      <c r="D301" s="44"/>
      <c r="E301" s="293"/>
      <c r="F301" s="293"/>
      <c r="G301" s="36"/>
      <c r="H301" s="36"/>
      <c r="I301" s="36"/>
      <c r="L301" s="282"/>
      <c r="M301" s="282"/>
      <c r="N301" s="282"/>
      <c r="O301" s="282"/>
      <c r="P301" s="282"/>
      <c r="Q301" s="282"/>
      <c r="R301" s="282"/>
    </row>
    <row r="302" spans="1:31" x14ac:dyDescent="0.2">
      <c r="A302" s="288"/>
      <c r="B302" s="265"/>
      <c r="C302" s="273" t="s">
        <v>462</v>
      </c>
      <c r="D302" s="44"/>
      <c r="E302" s="36"/>
      <c r="F302" s="36">
        <v>1450</v>
      </c>
      <c r="G302" s="36"/>
      <c r="H302" s="36"/>
      <c r="I302" s="36">
        <f>ROUND(PRODUCT(E302:H302),2)</f>
        <v>1450</v>
      </c>
      <c r="K302" s="283"/>
      <c r="L302" s="284">
        <v>0.8</v>
      </c>
      <c r="M302" s="284">
        <v>0.8</v>
      </c>
      <c r="N302" s="284">
        <v>0.2</v>
      </c>
      <c r="O302" s="284">
        <v>0.3</v>
      </c>
      <c r="P302" s="284">
        <v>0.15</v>
      </c>
      <c r="Q302" s="284">
        <v>0.25</v>
      </c>
      <c r="R302" s="284">
        <v>1.5</v>
      </c>
    </row>
    <row r="303" spans="1:31" x14ac:dyDescent="0.2">
      <c r="A303" s="288"/>
      <c r="B303" s="265"/>
      <c r="C303" s="273" t="s">
        <v>463</v>
      </c>
      <c r="D303" s="44"/>
      <c r="E303" s="36"/>
      <c r="F303" s="36">
        <v>182</v>
      </c>
      <c r="G303" s="36"/>
      <c r="H303" s="36"/>
      <c r="I303" s="36">
        <f>ROUND(PRODUCT(E303:H303),2)</f>
        <v>182</v>
      </c>
      <c r="L303" s="285"/>
    </row>
    <row r="304" spans="1:31" x14ac:dyDescent="0.2">
      <c r="A304" s="288"/>
      <c r="B304" s="265"/>
      <c r="C304" s="273"/>
      <c r="D304" s="44"/>
      <c r="E304" s="36"/>
      <c r="F304" s="36" t="s">
        <v>201</v>
      </c>
      <c r="G304" s="36"/>
      <c r="H304" s="36"/>
      <c r="I304" s="36"/>
      <c r="L304" s="285"/>
    </row>
    <row r="305" spans="1:31" x14ac:dyDescent="0.2">
      <c r="A305" s="288"/>
      <c r="B305" s="265"/>
      <c r="C305" s="273" t="s">
        <v>842</v>
      </c>
      <c r="D305" s="44"/>
      <c r="E305" s="36">
        <v>-1</v>
      </c>
      <c r="F305" s="36">
        <v>732.9</v>
      </c>
      <c r="G305" s="36"/>
      <c r="H305" s="36"/>
      <c r="I305" s="36">
        <f>ROUND(PRODUCT(E305:H305),2)</f>
        <v>-732.9</v>
      </c>
      <c r="L305" s="285"/>
    </row>
    <row r="306" spans="1:31" x14ac:dyDescent="0.2">
      <c r="A306" s="288"/>
      <c r="B306" s="265"/>
      <c r="C306" s="45" t="str">
        <f>"Total item "&amp;A299</f>
        <v>Total item 5.3</v>
      </c>
      <c r="D306" s="44"/>
      <c r="E306" s="36"/>
      <c r="F306" s="36"/>
      <c r="G306" s="36"/>
      <c r="H306" s="36"/>
      <c r="I306" s="19">
        <f>SUM(I302:I305)</f>
        <v>899.1</v>
      </c>
    </row>
    <row r="307" spans="1:31" x14ac:dyDescent="0.2">
      <c r="A307" s="288"/>
      <c r="B307" s="265"/>
      <c r="C307" s="266"/>
      <c r="D307" s="33"/>
      <c r="E307" s="267"/>
      <c r="F307" s="267"/>
      <c r="G307" s="267"/>
      <c r="H307" s="267"/>
      <c r="I307" s="267"/>
    </row>
    <row r="308" spans="1:31" s="31" customFormat="1" ht="33.75" x14ac:dyDescent="0.2">
      <c r="A308" s="268" t="s">
        <v>17</v>
      </c>
      <c r="B308" s="269" t="s">
        <v>59</v>
      </c>
      <c r="C308" s="294" t="s">
        <v>373</v>
      </c>
      <c r="D308" s="271" t="s">
        <v>368</v>
      </c>
      <c r="E308" s="19"/>
      <c r="F308" s="19"/>
      <c r="G308" s="19"/>
      <c r="H308" s="19"/>
      <c r="I308" s="19"/>
      <c r="AE308" s="31" t="s">
        <v>127</v>
      </c>
    </row>
    <row r="309" spans="1:31" ht="22.5" x14ac:dyDescent="0.2">
      <c r="A309" s="288"/>
      <c r="B309" s="265"/>
      <c r="C309" s="45" t="s">
        <v>366</v>
      </c>
      <c r="D309" s="44"/>
      <c r="E309" s="293"/>
      <c r="F309" s="293"/>
      <c r="G309" s="36"/>
      <c r="H309" s="36"/>
      <c r="I309" s="36"/>
      <c r="L309" s="282" t="s">
        <v>102</v>
      </c>
      <c r="M309" s="282" t="s">
        <v>103</v>
      </c>
      <c r="N309" s="282" t="s">
        <v>104</v>
      </c>
      <c r="O309" s="282" t="s">
        <v>105</v>
      </c>
      <c r="P309" s="282" t="s">
        <v>106</v>
      </c>
      <c r="Q309" s="282" t="s">
        <v>107</v>
      </c>
      <c r="R309" s="282" t="s">
        <v>114</v>
      </c>
    </row>
    <row r="310" spans="1:31" x14ac:dyDescent="0.2">
      <c r="A310" s="288"/>
      <c r="B310" s="265"/>
      <c r="C310" s="45" t="s">
        <v>245</v>
      </c>
      <c r="D310" s="44"/>
      <c r="E310" s="293"/>
      <c r="F310" s="293"/>
      <c r="G310" s="36"/>
      <c r="H310" s="36"/>
      <c r="I310" s="36"/>
      <c r="L310" s="282"/>
      <c r="M310" s="282"/>
      <c r="N310" s="282"/>
      <c r="O310" s="282"/>
      <c r="P310" s="282"/>
      <c r="Q310" s="282"/>
      <c r="R310" s="282"/>
    </row>
    <row r="311" spans="1:31" ht="12.75" customHeight="1" x14ac:dyDescent="0.2">
      <c r="A311" s="288"/>
      <c r="B311" s="265"/>
      <c r="C311" s="273" t="s">
        <v>464</v>
      </c>
      <c r="D311" s="44"/>
      <c r="E311" s="36"/>
      <c r="F311" s="36">
        <v>3280</v>
      </c>
      <c r="G311" s="36"/>
      <c r="H311" s="36"/>
      <c r="I311" s="36">
        <f>ROUND(PRODUCT(E311:H311),2)</f>
        <v>3280</v>
      </c>
      <c r="K311" s="283"/>
      <c r="L311" s="284">
        <v>0.8</v>
      </c>
      <c r="M311" s="284">
        <v>0.8</v>
      </c>
      <c r="N311" s="284">
        <v>0.2</v>
      </c>
      <c r="O311" s="284">
        <v>0.3</v>
      </c>
      <c r="P311" s="284">
        <v>0.15</v>
      </c>
      <c r="Q311" s="284">
        <v>0.25</v>
      </c>
      <c r="R311" s="284">
        <v>1.5</v>
      </c>
    </row>
    <row r="312" spans="1:31" x14ac:dyDescent="0.2">
      <c r="A312" s="288"/>
      <c r="B312" s="265"/>
      <c r="C312" s="45" t="s">
        <v>299</v>
      </c>
      <c r="D312" s="44"/>
      <c r="E312" s="36"/>
      <c r="F312" s="36"/>
      <c r="G312" s="36"/>
      <c r="H312" s="36"/>
      <c r="I312" s="36"/>
      <c r="K312" s="283"/>
      <c r="L312" s="284">
        <v>0.8</v>
      </c>
      <c r="M312" s="284">
        <v>0.8</v>
      </c>
      <c r="N312" s="284">
        <v>0.2</v>
      </c>
      <c r="O312" s="284">
        <v>0.3</v>
      </c>
      <c r="P312" s="284">
        <v>0.15</v>
      </c>
      <c r="Q312" s="284">
        <v>0.25</v>
      </c>
      <c r="R312" s="284">
        <v>1.5</v>
      </c>
    </row>
    <row r="313" spans="1:31" x14ac:dyDescent="0.2">
      <c r="A313" s="288"/>
      <c r="B313" s="265"/>
      <c r="C313" s="273" t="s">
        <v>462</v>
      </c>
      <c r="D313" s="44"/>
      <c r="E313" s="36"/>
      <c r="F313" s="36">
        <v>987</v>
      </c>
      <c r="G313" s="36"/>
      <c r="H313" s="36"/>
      <c r="I313" s="36">
        <f>ROUND(PRODUCT(E313:H313),2)</f>
        <v>987</v>
      </c>
      <c r="L313" s="285"/>
    </row>
    <row r="314" spans="1:31" x14ac:dyDescent="0.2">
      <c r="A314" s="288"/>
      <c r="B314" s="265"/>
      <c r="C314" s="273"/>
      <c r="D314" s="44"/>
      <c r="E314" s="36"/>
      <c r="F314" s="36" t="s">
        <v>201</v>
      </c>
      <c r="G314" s="36"/>
      <c r="H314" s="36"/>
      <c r="I314" s="36"/>
      <c r="L314" s="285"/>
    </row>
    <row r="315" spans="1:31" x14ac:dyDescent="0.2">
      <c r="A315" s="288"/>
      <c r="B315" s="265"/>
      <c r="C315" s="273" t="s">
        <v>842</v>
      </c>
      <c r="D315" s="44"/>
      <c r="E315" s="36">
        <v>-1</v>
      </c>
      <c r="F315" s="36">
        <v>1798.05</v>
      </c>
      <c r="G315" s="36"/>
      <c r="H315" s="36"/>
      <c r="I315" s="36">
        <f>ROUND(PRODUCT(E315:H315),2)</f>
        <v>-1798.05</v>
      </c>
      <c r="L315" s="285"/>
    </row>
    <row r="316" spans="1:31" x14ac:dyDescent="0.2">
      <c r="A316" s="288"/>
      <c r="B316" s="265"/>
      <c r="C316" s="45" t="str">
        <f>"Total item "&amp;A308</f>
        <v>Total item 5.4</v>
      </c>
      <c r="D316" s="44"/>
      <c r="E316" s="36"/>
      <c r="F316" s="36"/>
      <c r="G316" s="36"/>
      <c r="H316" s="36"/>
      <c r="I316" s="19">
        <f>SUM(I309:I315)</f>
        <v>2468.9499999999998</v>
      </c>
    </row>
    <row r="317" spans="1:31" x14ac:dyDescent="0.2">
      <c r="A317" s="288"/>
      <c r="B317" s="289"/>
      <c r="C317" s="290"/>
      <c r="D317" s="291"/>
      <c r="E317" s="286"/>
      <c r="F317" s="286"/>
      <c r="G317" s="286"/>
      <c r="H317" s="286"/>
      <c r="I317" s="286"/>
    </row>
    <row r="318" spans="1:31" s="31" customFormat="1" ht="33.75" x14ac:dyDescent="0.2">
      <c r="A318" s="268" t="s">
        <v>812</v>
      </c>
      <c r="B318" s="269" t="s">
        <v>59</v>
      </c>
      <c r="C318" s="294" t="s">
        <v>374</v>
      </c>
      <c r="D318" s="271" t="s">
        <v>368</v>
      </c>
      <c r="E318" s="19"/>
      <c r="F318" s="19"/>
      <c r="G318" s="19"/>
      <c r="H318" s="19"/>
      <c r="I318" s="19"/>
      <c r="AE318" s="31" t="s">
        <v>127</v>
      </c>
    </row>
    <row r="319" spans="1:31" ht="22.5" x14ac:dyDescent="0.2">
      <c r="A319" s="288"/>
      <c r="B319" s="265"/>
      <c r="C319" s="45" t="s">
        <v>366</v>
      </c>
      <c r="D319" s="44"/>
      <c r="E319" s="293"/>
      <c r="F319" s="293"/>
      <c r="G319" s="36"/>
      <c r="H319" s="36"/>
      <c r="I319" s="36"/>
      <c r="L319" s="282" t="s">
        <v>102</v>
      </c>
      <c r="M319" s="282" t="s">
        <v>103</v>
      </c>
      <c r="N319" s="282" t="s">
        <v>104</v>
      </c>
      <c r="O319" s="282" t="s">
        <v>105</v>
      </c>
      <c r="P319" s="282" t="s">
        <v>106</v>
      </c>
      <c r="Q319" s="282" t="s">
        <v>107</v>
      </c>
      <c r="R319" s="282" t="s">
        <v>114</v>
      </c>
    </row>
    <row r="320" spans="1:31" x14ac:dyDescent="0.2">
      <c r="A320" s="288"/>
      <c r="B320" s="265"/>
      <c r="C320" s="45" t="s">
        <v>245</v>
      </c>
      <c r="D320" s="44"/>
      <c r="E320" s="293"/>
      <c r="F320" s="293"/>
      <c r="G320" s="36"/>
      <c r="H320" s="36"/>
      <c r="I320" s="36"/>
      <c r="L320" s="282"/>
      <c r="M320" s="282"/>
      <c r="N320" s="282"/>
      <c r="O320" s="282"/>
      <c r="P320" s="282"/>
      <c r="Q320" s="282"/>
      <c r="R320" s="282"/>
    </row>
    <row r="321" spans="1:18" x14ac:dyDescent="0.2">
      <c r="A321" s="288"/>
      <c r="B321" s="265"/>
      <c r="C321" s="273" t="s">
        <v>464</v>
      </c>
      <c r="D321" s="44"/>
      <c r="E321" s="36"/>
      <c r="F321" s="36">
        <v>921</v>
      </c>
      <c r="G321" s="36"/>
      <c r="H321" s="36"/>
      <c r="I321" s="36">
        <f>ROUND(PRODUCT(E321:H321),2)</f>
        <v>921</v>
      </c>
      <c r="K321" s="283"/>
      <c r="L321" s="284">
        <v>0.8</v>
      </c>
      <c r="M321" s="284">
        <v>0.8</v>
      </c>
      <c r="N321" s="284">
        <v>0.2</v>
      </c>
      <c r="O321" s="284">
        <v>0.3</v>
      </c>
      <c r="P321" s="284">
        <v>0.15</v>
      </c>
      <c r="Q321" s="284">
        <v>0.25</v>
      </c>
      <c r="R321" s="284">
        <v>1.5</v>
      </c>
    </row>
    <row r="322" spans="1:18" x14ac:dyDescent="0.2">
      <c r="A322" s="288"/>
      <c r="B322" s="265"/>
      <c r="C322" s="45" t="s">
        <v>299</v>
      </c>
      <c r="D322" s="44"/>
      <c r="E322" s="36"/>
      <c r="F322" s="36"/>
      <c r="G322" s="36"/>
      <c r="H322" s="36"/>
      <c r="I322" s="36"/>
      <c r="K322" s="283"/>
      <c r="L322" s="284">
        <v>0.8</v>
      </c>
      <c r="M322" s="284">
        <v>0.8</v>
      </c>
      <c r="N322" s="284">
        <v>0.2</v>
      </c>
      <c r="O322" s="284">
        <v>0.3</v>
      </c>
      <c r="P322" s="284">
        <v>0.15</v>
      </c>
      <c r="Q322" s="284">
        <v>0.25</v>
      </c>
      <c r="R322" s="284">
        <v>1.5</v>
      </c>
    </row>
    <row r="323" spans="1:18" x14ac:dyDescent="0.2">
      <c r="A323" s="288"/>
      <c r="B323" s="265"/>
      <c r="C323" s="273" t="s">
        <v>462</v>
      </c>
      <c r="D323" s="44"/>
      <c r="E323" s="36"/>
      <c r="F323" s="36">
        <v>821</v>
      </c>
      <c r="G323" s="36"/>
      <c r="H323" s="36"/>
      <c r="I323" s="36">
        <f>ROUND(PRODUCT(E323:H323),2)</f>
        <v>821</v>
      </c>
      <c r="L323" s="285"/>
    </row>
    <row r="324" spans="1:18" x14ac:dyDescent="0.2">
      <c r="A324" s="288"/>
      <c r="B324" s="265"/>
      <c r="C324" s="273" t="s">
        <v>463</v>
      </c>
      <c r="D324" s="44"/>
      <c r="E324" s="36"/>
      <c r="F324" s="36">
        <v>114</v>
      </c>
      <c r="G324" s="36"/>
      <c r="H324" s="36"/>
      <c r="I324" s="36">
        <f>ROUND(PRODUCT(E324:H324),2)</f>
        <v>114</v>
      </c>
      <c r="L324" s="285"/>
    </row>
    <row r="325" spans="1:18" x14ac:dyDescent="0.2">
      <c r="A325" s="288"/>
      <c r="B325" s="265"/>
      <c r="C325" s="273"/>
      <c r="D325" s="44"/>
      <c r="E325" s="36"/>
      <c r="F325" s="36" t="s">
        <v>201</v>
      </c>
      <c r="G325" s="36"/>
      <c r="H325" s="36"/>
      <c r="I325" s="36"/>
      <c r="L325" s="285"/>
    </row>
    <row r="326" spans="1:18" x14ac:dyDescent="0.2">
      <c r="A326" s="288"/>
      <c r="B326" s="265"/>
      <c r="C326" s="273" t="s">
        <v>842</v>
      </c>
      <c r="D326" s="44"/>
      <c r="E326" s="36">
        <v>-1</v>
      </c>
      <c r="F326" s="36">
        <v>733.63</v>
      </c>
      <c r="G326" s="36"/>
      <c r="H326" s="36"/>
      <c r="I326" s="36">
        <f>ROUND(PRODUCT(E326:H326),2)</f>
        <v>-733.63</v>
      </c>
      <c r="L326" s="285"/>
    </row>
    <row r="327" spans="1:18" x14ac:dyDescent="0.2">
      <c r="A327" s="288"/>
      <c r="B327" s="265"/>
      <c r="C327" s="45" t="str">
        <f>"Total item "&amp;A318</f>
        <v>Total item 5.5</v>
      </c>
      <c r="D327" s="44"/>
      <c r="E327" s="36"/>
      <c r="F327" s="36"/>
      <c r="G327" s="36"/>
      <c r="H327" s="36"/>
      <c r="I327" s="19">
        <f>SUM(I319:I326)</f>
        <v>1122.3699999999999</v>
      </c>
    </row>
    <row r="328" spans="1:18" x14ac:dyDescent="0.2">
      <c r="A328" s="288"/>
      <c r="B328" s="265"/>
      <c r="C328" s="266"/>
      <c r="D328" s="33"/>
      <c r="E328" s="267"/>
      <c r="F328" s="267"/>
      <c r="G328" s="267"/>
      <c r="H328" s="267"/>
      <c r="I328" s="267"/>
    </row>
    <row r="329" spans="1:18" s="10" customFormat="1" ht="45" x14ac:dyDescent="0.2">
      <c r="A329" s="268" t="s">
        <v>813</v>
      </c>
      <c r="B329" s="269" t="s">
        <v>59</v>
      </c>
      <c r="C329" s="294" t="s">
        <v>469</v>
      </c>
      <c r="D329" s="271" t="s">
        <v>368</v>
      </c>
      <c r="E329" s="19"/>
      <c r="F329" s="19"/>
      <c r="G329" s="19"/>
      <c r="H329" s="19"/>
      <c r="I329" s="19"/>
    </row>
    <row r="330" spans="1:18" ht="22.5" x14ac:dyDescent="0.2">
      <c r="A330" s="288"/>
      <c r="B330" s="265"/>
      <c r="C330" s="45" t="s">
        <v>366</v>
      </c>
      <c r="D330" s="44"/>
      <c r="E330" s="293"/>
      <c r="F330" s="293"/>
      <c r="G330" s="36"/>
      <c r="H330" s="36"/>
      <c r="I330" s="36"/>
    </row>
    <row r="331" spans="1:18" x14ac:dyDescent="0.2">
      <c r="A331" s="288"/>
      <c r="B331" s="265"/>
      <c r="C331" s="45" t="s">
        <v>470</v>
      </c>
      <c r="D331" s="44"/>
      <c r="E331" s="36"/>
      <c r="F331" s="36"/>
      <c r="G331" s="36"/>
      <c r="H331" s="36"/>
      <c r="I331" s="36"/>
    </row>
    <row r="332" spans="1:18" x14ac:dyDescent="0.2">
      <c r="A332" s="288"/>
      <c r="B332" s="265"/>
      <c r="C332" s="273" t="s">
        <v>471</v>
      </c>
      <c r="D332" s="44"/>
      <c r="E332" s="36"/>
      <c r="F332" s="36">
        <v>427</v>
      </c>
      <c r="G332" s="36"/>
      <c r="H332" s="36"/>
      <c r="I332" s="36">
        <f>ROUND(PRODUCT(E332:H332),2)</f>
        <v>427</v>
      </c>
    </row>
    <row r="333" spans="1:18" x14ac:dyDescent="0.2">
      <c r="A333" s="288"/>
      <c r="B333" s="265"/>
      <c r="C333" s="273"/>
      <c r="D333" s="44"/>
      <c r="E333" s="36"/>
      <c r="F333" s="36" t="s">
        <v>201</v>
      </c>
      <c r="G333" s="36"/>
      <c r="H333" s="36"/>
      <c r="I333" s="36"/>
    </row>
    <row r="334" spans="1:18" x14ac:dyDescent="0.2">
      <c r="A334" s="288"/>
      <c r="B334" s="265"/>
      <c r="C334" s="273" t="s">
        <v>842</v>
      </c>
      <c r="D334" s="44"/>
      <c r="E334" s="36">
        <v>-1</v>
      </c>
      <c r="F334" s="36">
        <v>116.62</v>
      </c>
      <c r="G334" s="36"/>
      <c r="H334" s="36"/>
      <c r="I334" s="36">
        <f>ROUND(PRODUCT(E334:H334),2)</f>
        <v>-116.62</v>
      </c>
    </row>
    <row r="335" spans="1:18" x14ac:dyDescent="0.2">
      <c r="A335" s="288"/>
      <c r="B335" s="265"/>
      <c r="C335" s="45" t="str">
        <f>"Total item "&amp;A329</f>
        <v>Total item 5.6</v>
      </c>
      <c r="D335" s="44"/>
      <c r="E335" s="36"/>
      <c r="F335" s="36"/>
      <c r="G335" s="36"/>
      <c r="H335" s="36"/>
      <c r="I335" s="19">
        <f>SUM(I330:I334)</f>
        <v>310.38</v>
      </c>
    </row>
    <row r="336" spans="1:18" x14ac:dyDescent="0.2">
      <c r="A336" s="288"/>
      <c r="B336" s="265"/>
      <c r="C336" s="266"/>
      <c r="D336" s="33"/>
      <c r="E336" s="267"/>
      <c r="F336" s="267"/>
      <c r="G336" s="267"/>
      <c r="H336" s="267"/>
      <c r="I336" s="267"/>
    </row>
    <row r="337" spans="1:31" s="31" customFormat="1" ht="33.75" x14ac:dyDescent="0.2">
      <c r="A337" s="268" t="s">
        <v>814</v>
      </c>
      <c r="B337" s="269" t="s">
        <v>59</v>
      </c>
      <c r="C337" s="294" t="s">
        <v>451</v>
      </c>
      <c r="D337" s="271" t="s">
        <v>118</v>
      </c>
      <c r="E337" s="19"/>
      <c r="F337" s="19"/>
      <c r="G337" s="19"/>
      <c r="H337" s="19"/>
      <c r="I337" s="19"/>
      <c r="AE337" s="31" t="s">
        <v>127</v>
      </c>
    </row>
    <row r="338" spans="1:31" x14ac:dyDescent="0.2">
      <c r="A338" s="288"/>
      <c r="B338" s="265"/>
      <c r="C338" s="273" t="s">
        <v>465</v>
      </c>
      <c r="D338" s="44"/>
      <c r="E338" s="36"/>
      <c r="F338" s="36"/>
      <c r="G338" s="36"/>
      <c r="H338" s="36"/>
      <c r="I338" s="36"/>
      <c r="K338" s="283"/>
      <c r="L338" s="284">
        <v>0.8</v>
      </c>
      <c r="M338" s="284">
        <v>0.8</v>
      </c>
      <c r="N338" s="284">
        <v>0.2</v>
      </c>
      <c r="O338" s="284">
        <v>0.3</v>
      </c>
      <c r="P338" s="284">
        <v>0.15</v>
      </c>
      <c r="Q338" s="284">
        <v>0.25</v>
      </c>
      <c r="R338" s="284">
        <v>1.5</v>
      </c>
    </row>
    <row r="339" spans="1:31" x14ac:dyDescent="0.2">
      <c r="A339" s="288"/>
      <c r="B339" s="265"/>
      <c r="C339" s="45" t="s">
        <v>245</v>
      </c>
      <c r="D339" s="44"/>
      <c r="E339" s="36"/>
      <c r="F339" s="36">
        <v>0.74</v>
      </c>
      <c r="G339" s="36"/>
      <c r="H339" s="36"/>
      <c r="I339" s="36">
        <f t="shared" ref="I339:I346" si="4">ROUND(PRODUCT(E339:H339),2)</f>
        <v>0.74</v>
      </c>
      <c r="K339" s="283"/>
      <c r="L339" s="284">
        <v>0.8</v>
      </c>
      <c r="M339" s="284">
        <v>0.8</v>
      </c>
      <c r="N339" s="284">
        <v>0.2</v>
      </c>
      <c r="O339" s="284">
        <v>0.3</v>
      </c>
      <c r="P339" s="284">
        <v>0.15</v>
      </c>
      <c r="Q339" s="284">
        <v>0.25</v>
      </c>
      <c r="R339" s="284">
        <v>1.5</v>
      </c>
    </row>
    <row r="340" spans="1:31" x14ac:dyDescent="0.2">
      <c r="A340" s="288"/>
      <c r="B340" s="265"/>
      <c r="C340" s="273" t="s">
        <v>454</v>
      </c>
      <c r="D340" s="44"/>
      <c r="E340" s="36"/>
      <c r="F340" s="36">
        <v>12.9</v>
      </c>
      <c r="G340" s="36"/>
      <c r="H340" s="36"/>
      <c r="I340" s="36">
        <f t="shared" si="4"/>
        <v>12.9</v>
      </c>
      <c r="L340" s="285"/>
    </row>
    <row r="341" spans="1:31" x14ac:dyDescent="0.2">
      <c r="A341" s="288"/>
      <c r="B341" s="265"/>
      <c r="C341" s="273" t="s">
        <v>455</v>
      </c>
      <c r="D341" s="44"/>
      <c r="E341" s="36"/>
      <c r="F341" s="36">
        <v>12.38</v>
      </c>
      <c r="G341" s="36"/>
      <c r="H341" s="36"/>
      <c r="I341" s="36">
        <f t="shared" si="4"/>
        <v>12.38</v>
      </c>
      <c r="L341" s="285"/>
    </row>
    <row r="342" spans="1:31" x14ac:dyDescent="0.2">
      <c r="A342" s="288"/>
      <c r="B342" s="265"/>
      <c r="C342" s="273" t="s">
        <v>456</v>
      </c>
      <c r="D342" s="44"/>
      <c r="E342" s="36"/>
      <c r="F342" s="36">
        <v>12.77</v>
      </c>
      <c r="G342" s="36"/>
      <c r="H342" s="36"/>
      <c r="I342" s="36">
        <f t="shared" si="4"/>
        <v>12.77</v>
      </c>
      <c r="L342" s="285"/>
    </row>
    <row r="343" spans="1:31" x14ac:dyDescent="0.2">
      <c r="A343" s="288"/>
      <c r="B343" s="265"/>
      <c r="C343" s="273" t="s">
        <v>457</v>
      </c>
      <c r="D343" s="44"/>
      <c r="E343" s="36"/>
      <c r="F343" s="36">
        <v>3.19</v>
      </c>
      <c r="G343" s="36"/>
      <c r="H343" s="36"/>
      <c r="I343" s="36">
        <f t="shared" si="4"/>
        <v>3.19</v>
      </c>
      <c r="L343" s="285"/>
    </row>
    <row r="344" spans="1:31" x14ac:dyDescent="0.2">
      <c r="A344" s="288"/>
      <c r="B344" s="265"/>
      <c r="C344" s="45" t="s">
        <v>299</v>
      </c>
      <c r="D344" s="44"/>
      <c r="E344" s="36"/>
      <c r="F344" s="36"/>
      <c r="G344" s="36"/>
      <c r="H344" s="36"/>
      <c r="I344" s="36"/>
      <c r="L344" s="286" t="s">
        <v>81</v>
      </c>
      <c r="M344" s="286" t="s">
        <v>103</v>
      </c>
    </row>
    <row r="345" spans="1:31" x14ac:dyDescent="0.2">
      <c r="A345" s="288"/>
      <c r="B345" s="265"/>
      <c r="C345" s="273" t="s">
        <v>460</v>
      </c>
      <c r="D345" s="44"/>
      <c r="E345" s="36"/>
      <c r="F345" s="36">
        <v>54.7</v>
      </c>
      <c r="G345" s="36"/>
      <c r="H345" s="36"/>
      <c r="I345" s="36">
        <f t="shared" si="4"/>
        <v>54.7</v>
      </c>
      <c r="L345" s="287">
        <v>0.2</v>
      </c>
      <c r="M345" s="287">
        <v>0.2</v>
      </c>
    </row>
    <row r="346" spans="1:31" x14ac:dyDescent="0.2">
      <c r="A346" s="288"/>
      <c r="B346" s="265"/>
      <c r="C346" s="273" t="s">
        <v>461</v>
      </c>
      <c r="D346" s="44"/>
      <c r="E346" s="36"/>
      <c r="F346" s="36">
        <v>49.23</v>
      </c>
      <c r="G346" s="36"/>
      <c r="H346" s="36"/>
      <c r="I346" s="36">
        <f t="shared" si="4"/>
        <v>49.23</v>
      </c>
      <c r="K346" s="283"/>
      <c r="L346" s="284">
        <v>0.8</v>
      </c>
      <c r="M346" s="284">
        <v>0.8</v>
      </c>
      <c r="N346" s="284">
        <v>0.2</v>
      </c>
      <c r="O346" s="284">
        <v>0.3</v>
      </c>
      <c r="P346" s="284">
        <v>0.15</v>
      </c>
      <c r="Q346" s="284">
        <v>0.25</v>
      </c>
      <c r="R346" s="284">
        <v>1.5</v>
      </c>
    </row>
    <row r="347" spans="1:31" x14ac:dyDescent="0.2">
      <c r="A347" s="288"/>
      <c r="B347" s="265"/>
      <c r="C347" s="273"/>
      <c r="D347" s="44"/>
      <c r="E347" s="36"/>
      <c r="F347" s="36" t="s">
        <v>201</v>
      </c>
      <c r="G347" s="36"/>
      <c r="H347" s="36"/>
      <c r="I347" s="36"/>
      <c r="K347" s="283"/>
      <c r="L347" s="323"/>
      <c r="M347" s="323"/>
      <c r="N347" s="323"/>
      <c r="O347" s="323"/>
      <c r="P347" s="323"/>
      <c r="Q347" s="323"/>
      <c r="R347" s="323"/>
    </row>
    <row r="348" spans="1:31" x14ac:dyDescent="0.2">
      <c r="A348" s="288"/>
      <c r="B348" s="265"/>
      <c r="C348" s="273" t="s">
        <v>844</v>
      </c>
      <c r="D348" s="44"/>
      <c r="E348" s="36">
        <v>-1</v>
      </c>
      <c r="F348" s="36">
        <v>36.68</v>
      </c>
      <c r="G348" s="36"/>
      <c r="H348" s="36"/>
      <c r="I348" s="36">
        <f>ROUND(PRODUCT(E348:H348),2)</f>
        <v>-36.68</v>
      </c>
      <c r="K348" s="283"/>
      <c r="L348" s="323"/>
      <c r="M348" s="323"/>
      <c r="N348" s="323"/>
      <c r="O348" s="323"/>
      <c r="P348" s="323"/>
      <c r="Q348" s="323"/>
      <c r="R348" s="323"/>
    </row>
    <row r="349" spans="1:31" x14ac:dyDescent="0.2">
      <c r="A349" s="288"/>
      <c r="B349" s="265"/>
      <c r="C349" s="45" t="str">
        <f>"Total item "&amp;A337</f>
        <v>Total item 5.7</v>
      </c>
      <c r="D349" s="44"/>
      <c r="E349" s="36"/>
      <c r="F349" s="36"/>
      <c r="G349" s="36"/>
      <c r="H349" s="36"/>
      <c r="I349" s="19">
        <f>SUM(I338:I348)</f>
        <v>109.22999999999999</v>
      </c>
    </row>
    <row r="350" spans="1:31" x14ac:dyDescent="0.2">
      <c r="A350" s="288"/>
      <c r="B350" s="265"/>
      <c r="C350" s="266"/>
      <c r="D350" s="33"/>
      <c r="E350" s="267"/>
      <c r="F350" s="267"/>
      <c r="G350" s="267"/>
      <c r="H350" s="267"/>
      <c r="I350" s="267"/>
    </row>
    <row r="351" spans="1:31" s="31" customFormat="1" ht="33.75" x14ac:dyDescent="0.2">
      <c r="A351" s="268" t="s">
        <v>815</v>
      </c>
      <c r="B351" s="269" t="s">
        <v>59</v>
      </c>
      <c r="C351" s="294" t="s">
        <v>379</v>
      </c>
      <c r="D351" s="271" t="s">
        <v>118</v>
      </c>
      <c r="E351" s="19"/>
      <c r="F351" s="19"/>
      <c r="G351" s="19"/>
      <c r="H351" s="19"/>
      <c r="I351" s="19"/>
      <c r="J351" s="31" t="s">
        <v>472</v>
      </c>
      <c r="AE351" s="31" t="s">
        <v>127</v>
      </c>
    </row>
    <row r="352" spans="1:31" x14ac:dyDescent="0.2">
      <c r="A352" s="32"/>
      <c r="B352" s="265"/>
      <c r="C352" s="273" t="s">
        <v>376</v>
      </c>
      <c r="D352" s="44"/>
      <c r="E352" s="36"/>
      <c r="F352" s="36">
        <f>I349</f>
        <v>109.22999999999999</v>
      </c>
      <c r="G352" s="36"/>
      <c r="H352" s="36"/>
      <c r="I352" s="36">
        <f>ROUND(PRODUCT(E352:H352),2)</f>
        <v>109.23</v>
      </c>
      <c r="K352" s="283"/>
      <c r="L352" s="284">
        <v>0.8</v>
      </c>
      <c r="M352" s="284">
        <v>0.8</v>
      </c>
      <c r="N352" s="284">
        <v>0.2</v>
      </c>
      <c r="O352" s="284">
        <v>0.3</v>
      </c>
      <c r="P352" s="284">
        <v>0.15</v>
      </c>
      <c r="Q352" s="284">
        <v>0.25</v>
      </c>
      <c r="R352" s="284">
        <v>1.5</v>
      </c>
    </row>
    <row r="353" spans="1:31" x14ac:dyDescent="0.2">
      <c r="A353" s="32"/>
      <c r="B353" s="265"/>
      <c r="C353" s="45" t="str">
        <f>"Total item "&amp;A351</f>
        <v>Total item 5.8</v>
      </c>
      <c r="D353" s="44"/>
      <c r="E353" s="36"/>
      <c r="F353" s="36"/>
      <c r="G353" s="36"/>
      <c r="H353" s="36"/>
      <c r="I353" s="19">
        <f>SUM(I352:I352)</f>
        <v>109.23</v>
      </c>
    </row>
    <row r="354" spans="1:31" x14ac:dyDescent="0.2">
      <c r="A354" s="32"/>
      <c r="B354" s="265"/>
      <c r="C354" s="266"/>
      <c r="D354" s="33"/>
      <c r="E354" s="267"/>
      <c r="F354" s="267"/>
      <c r="G354" s="267"/>
      <c r="H354" s="267"/>
      <c r="I354" s="267"/>
    </row>
    <row r="355" spans="1:31" s="31" customFormat="1" ht="45" x14ac:dyDescent="0.2">
      <c r="A355" s="268" t="s">
        <v>816</v>
      </c>
      <c r="B355" s="296" t="s">
        <v>59</v>
      </c>
      <c r="C355" s="270" t="s">
        <v>207</v>
      </c>
      <c r="D355" s="271" t="s">
        <v>112</v>
      </c>
      <c r="E355" s="297"/>
      <c r="F355" s="19" t="s">
        <v>466</v>
      </c>
      <c r="G355" s="19"/>
      <c r="H355" s="19"/>
      <c r="I355" s="19"/>
      <c r="AE355" s="31" t="s">
        <v>128</v>
      </c>
    </row>
    <row r="356" spans="1:31" x14ac:dyDescent="0.2">
      <c r="A356" s="32"/>
      <c r="B356" s="265"/>
      <c r="C356" s="45" t="s">
        <v>467</v>
      </c>
      <c r="D356" s="44"/>
      <c r="E356" s="36"/>
      <c r="F356" s="36">
        <v>1114.8800000000001</v>
      </c>
      <c r="G356" s="36"/>
      <c r="H356" s="36"/>
      <c r="I356" s="36">
        <f>ROUND(PRODUCT(E356:H356),2)</f>
        <v>1114.8800000000001</v>
      </c>
    </row>
    <row r="357" spans="1:31" x14ac:dyDescent="0.2">
      <c r="A357" s="32"/>
      <c r="B357" s="265"/>
      <c r="C357" s="45" t="s">
        <v>468</v>
      </c>
      <c r="D357" s="44"/>
      <c r="E357" s="36"/>
      <c r="F357" s="36">
        <v>10.55</v>
      </c>
      <c r="G357" s="36">
        <v>5.3</v>
      </c>
      <c r="H357" s="36"/>
      <c r="I357" s="36">
        <f>ROUND(PRODUCT(E357:H357),2)</f>
        <v>55.92</v>
      </c>
    </row>
    <row r="358" spans="1:31" x14ac:dyDescent="0.2">
      <c r="A358" s="32"/>
      <c r="B358" s="265"/>
      <c r="C358" s="273"/>
      <c r="D358" s="44"/>
      <c r="E358" s="36"/>
      <c r="F358" s="36" t="s">
        <v>201</v>
      </c>
      <c r="G358" s="36"/>
      <c r="H358" s="36"/>
      <c r="I358" s="36"/>
    </row>
    <row r="359" spans="1:31" x14ac:dyDescent="0.2">
      <c r="A359" s="32"/>
      <c r="B359" s="265"/>
      <c r="C359" s="273" t="s">
        <v>845</v>
      </c>
      <c r="D359" s="44"/>
      <c r="E359" s="36">
        <v>-1</v>
      </c>
      <c r="F359" s="36">
        <v>353.8</v>
      </c>
      <c r="G359" s="36"/>
      <c r="H359" s="36"/>
      <c r="I359" s="36">
        <f>ROUND(PRODUCT(E359:H359),2)</f>
        <v>-353.8</v>
      </c>
    </row>
    <row r="360" spans="1:31" x14ac:dyDescent="0.2">
      <c r="A360" s="32"/>
      <c r="B360" s="265"/>
      <c r="C360" s="45" t="str">
        <f>"Total item "&amp;A355</f>
        <v>Total item 5.9</v>
      </c>
      <c r="D360" s="44"/>
      <c r="E360" s="36"/>
      <c r="F360" s="36"/>
      <c r="G360" s="36"/>
      <c r="H360" s="36"/>
      <c r="I360" s="19">
        <f>SUM(I356:I359)</f>
        <v>817.00000000000023</v>
      </c>
    </row>
    <row r="361" spans="1:31" x14ac:dyDescent="0.2">
      <c r="A361" s="32"/>
      <c r="B361" s="265"/>
      <c r="C361" s="45"/>
      <c r="D361" s="44"/>
      <c r="E361" s="36"/>
      <c r="F361" s="36"/>
      <c r="G361" s="36"/>
      <c r="H361" s="36"/>
      <c r="I361" s="298"/>
    </row>
    <row r="362" spans="1:31" s="31" customFormat="1" ht="22.5" x14ac:dyDescent="0.2">
      <c r="A362" s="268" t="s">
        <v>817</v>
      </c>
      <c r="B362" s="296" t="s">
        <v>59</v>
      </c>
      <c r="C362" s="270" t="s">
        <v>501</v>
      </c>
      <c r="D362" s="271" t="s">
        <v>12</v>
      </c>
      <c r="E362" s="19"/>
      <c r="F362" s="19"/>
      <c r="G362" s="19"/>
      <c r="H362" s="19"/>
      <c r="I362" s="19"/>
      <c r="AE362" s="31" t="s">
        <v>129</v>
      </c>
    </row>
    <row r="363" spans="1:31" s="10" customFormat="1" x14ac:dyDescent="0.2">
      <c r="A363" s="32"/>
      <c r="B363" s="265"/>
      <c r="C363" s="273" t="s">
        <v>784</v>
      </c>
      <c r="D363" s="44"/>
      <c r="E363" s="36"/>
      <c r="F363" s="36"/>
      <c r="G363" s="36"/>
      <c r="H363" s="36"/>
      <c r="I363" s="36"/>
    </row>
    <row r="364" spans="1:31" s="10" customFormat="1" x14ac:dyDescent="0.2">
      <c r="A364" s="32"/>
      <c r="B364" s="265"/>
      <c r="C364" s="273" t="s">
        <v>475</v>
      </c>
      <c r="D364" s="44"/>
      <c r="E364" s="36">
        <v>7</v>
      </c>
      <c r="F364" s="36">
        <f>0.9+0.4</f>
        <v>1.3</v>
      </c>
      <c r="G364" s="36"/>
      <c r="H364" s="36"/>
      <c r="I364" s="36">
        <f>ROUND((PRODUCT(E364:H364)),2)</f>
        <v>9.1</v>
      </c>
    </row>
    <row r="365" spans="1:31" s="10" customFormat="1" x14ac:dyDescent="0.2">
      <c r="A365" s="32"/>
      <c r="B365" s="265"/>
      <c r="C365" s="273" t="s">
        <v>477</v>
      </c>
      <c r="D365" s="44"/>
      <c r="E365" s="36">
        <v>2</v>
      </c>
      <c r="F365" s="36">
        <f>1+0.4</f>
        <v>1.4</v>
      </c>
      <c r="G365" s="36"/>
      <c r="H365" s="36"/>
      <c r="I365" s="36">
        <f>ROUND((PRODUCT(E365:H365)),2)</f>
        <v>2.8</v>
      </c>
    </row>
    <row r="366" spans="1:31" s="10" customFormat="1" x14ac:dyDescent="0.2">
      <c r="A366" s="32"/>
      <c r="B366" s="265"/>
      <c r="C366" s="273" t="s">
        <v>243</v>
      </c>
      <c r="D366" s="44"/>
      <c r="E366" s="36">
        <v>2</v>
      </c>
      <c r="F366" s="36">
        <f>0.9+0.4</f>
        <v>1.3</v>
      </c>
      <c r="G366" s="36"/>
      <c r="H366" s="36"/>
      <c r="I366" s="36">
        <f>ROUND((PRODUCT(E366:H366)),2)</f>
        <v>2.6</v>
      </c>
    </row>
    <row r="367" spans="1:31" s="10" customFormat="1" x14ac:dyDescent="0.2">
      <c r="A367" s="32"/>
      <c r="B367" s="265"/>
      <c r="C367" s="273" t="s">
        <v>783</v>
      </c>
      <c r="D367" s="44"/>
      <c r="E367" s="36"/>
      <c r="F367" s="36"/>
      <c r="G367" s="36"/>
      <c r="H367" s="36"/>
      <c r="I367" s="36"/>
    </row>
    <row r="368" spans="1:31" s="30" customFormat="1" x14ac:dyDescent="0.2">
      <c r="A368" s="32"/>
      <c r="B368" s="265"/>
      <c r="C368" s="273" t="s">
        <v>475</v>
      </c>
      <c r="D368" s="44"/>
      <c r="E368" s="36">
        <v>12</v>
      </c>
      <c r="F368" s="36">
        <v>3</v>
      </c>
      <c r="G368" s="36"/>
      <c r="H368" s="36"/>
      <c r="I368" s="36">
        <f>ROUND((PRODUCT(E368:H368)),2)</f>
        <v>36</v>
      </c>
      <c r="J368" s="10"/>
      <c r="L368" s="10"/>
    </row>
    <row r="369" spans="1:31" s="10" customFormat="1" x14ac:dyDescent="0.2">
      <c r="A369" s="32"/>
      <c r="B369" s="265"/>
      <c r="C369" s="273"/>
      <c r="D369" s="44"/>
      <c r="E369" s="36">
        <v>12</v>
      </c>
      <c r="F369" s="36">
        <v>3</v>
      </c>
      <c r="G369" s="36"/>
      <c r="H369" s="36"/>
      <c r="I369" s="36">
        <f>ROUND((PRODUCT(E369:H369)),2)</f>
        <v>36</v>
      </c>
    </row>
    <row r="370" spans="1:31" s="30" customFormat="1" x14ac:dyDescent="0.2">
      <c r="A370" s="32"/>
      <c r="B370" s="265"/>
      <c r="C370" s="273" t="s">
        <v>476</v>
      </c>
      <c r="D370" s="44"/>
      <c r="E370" s="36">
        <v>4</v>
      </c>
      <c r="F370" s="36">
        <v>1.4</v>
      </c>
      <c r="G370" s="36"/>
      <c r="H370" s="36"/>
      <c r="I370" s="36">
        <f>ROUND((PRODUCT(E370:H370)),2)</f>
        <v>5.6</v>
      </c>
      <c r="J370" s="10"/>
      <c r="L370" s="10"/>
    </row>
    <row r="371" spans="1:31" s="10" customFormat="1" x14ac:dyDescent="0.2">
      <c r="A371" s="32"/>
      <c r="B371" s="265"/>
      <c r="C371" s="273"/>
      <c r="D371" s="44"/>
      <c r="E371" s="36">
        <v>4</v>
      </c>
      <c r="F371" s="36">
        <v>1.4</v>
      </c>
      <c r="G371" s="36"/>
      <c r="H371" s="36"/>
      <c r="I371" s="36">
        <f>ROUND((PRODUCT(E371:H371)),2)</f>
        <v>5.6</v>
      </c>
    </row>
    <row r="372" spans="1:31" s="10" customFormat="1" x14ac:dyDescent="0.2">
      <c r="A372" s="32"/>
      <c r="B372" s="265"/>
      <c r="C372" s="273"/>
      <c r="D372" s="44"/>
      <c r="E372" s="36"/>
      <c r="F372" s="36" t="s">
        <v>201</v>
      </c>
      <c r="G372" s="36"/>
      <c r="H372" s="36"/>
      <c r="I372" s="36"/>
    </row>
    <row r="373" spans="1:31" s="10" customFormat="1" x14ac:dyDescent="0.2">
      <c r="A373" s="32"/>
      <c r="B373" s="265"/>
      <c r="C373" s="273" t="s">
        <v>846</v>
      </c>
      <c r="D373" s="44"/>
      <c r="E373" s="36">
        <v>-1</v>
      </c>
      <c r="F373" s="36">
        <v>11.6</v>
      </c>
      <c r="G373" s="36"/>
      <c r="H373" s="36"/>
      <c r="I373" s="36">
        <f>ROUND(PRODUCT(E373:H373),2)</f>
        <v>-11.6</v>
      </c>
    </row>
    <row r="374" spans="1:31" s="10" customFormat="1" x14ac:dyDescent="0.2">
      <c r="A374" s="32"/>
      <c r="B374" s="265"/>
      <c r="C374" s="45" t="str">
        <f>"Total item "&amp;A362</f>
        <v>Total item 5.10</v>
      </c>
      <c r="D374" s="44"/>
      <c r="E374" s="36"/>
      <c r="F374" s="36"/>
      <c r="G374" s="36"/>
      <c r="H374" s="36"/>
      <c r="I374" s="19">
        <f>SUM(I364:I373)</f>
        <v>86.1</v>
      </c>
    </row>
    <row r="375" spans="1:31" s="10" customFormat="1" x14ac:dyDescent="0.2">
      <c r="A375" s="32"/>
      <c r="B375" s="265"/>
      <c r="C375" s="266"/>
      <c r="D375" s="33"/>
      <c r="E375" s="267"/>
      <c r="F375" s="267"/>
      <c r="G375" s="267"/>
      <c r="H375" s="267"/>
      <c r="I375" s="267"/>
    </row>
    <row r="376" spans="1:31" s="263" customFormat="1" ht="10.5" customHeight="1" x14ac:dyDescent="0.2">
      <c r="A376" s="252" t="s">
        <v>236</v>
      </c>
      <c r="B376" s="253"/>
      <c r="C376" s="254" t="s">
        <v>42</v>
      </c>
      <c r="D376" s="255"/>
      <c r="E376" s="256"/>
      <c r="F376" s="256"/>
      <c r="G376" s="256"/>
      <c r="H376" s="256"/>
      <c r="I376" s="256"/>
      <c r="J376" s="261" t="s">
        <v>110</v>
      </c>
      <c r="K376" s="262" t="s">
        <v>160</v>
      </c>
      <c r="AE376" s="264"/>
    </row>
    <row r="377" spans="1:31" s="10" customFormat="1" x14ac:dyDescent="0.2">
      <c r="A377" s="32"/>
      <c r="B377" s="265"/>
      <c r="C377" s="266"/>
      <c r="D377" s="33"/>
      <c r="E377" s="267"/>
      <c r="F377" s="267"/>
      <c r="G377" s="267"/>
      <c r="H377" s="267"/>
      <c r="I377" s="267"/>
    </row>
    <row r="378" spans="1:31" s="31" customFormat="1" ht="45" x14ac:dyDescent="0.2">
      <c r="A378" s="268" t="s">
        <v>20</v>
      </c>
      <c r="B378" s="269" t="s">
        <v>59</v>
      </c>
      <c r="C378" s="270" t="s">
        <v>255</v>
      </c>
      <c r="D378" s="271" t="s">
        <v>112</v>
      </c>
      <c r="E378" s="19"/>
      <c r="F378" s="19"/>
      <c r="G378" s="19"/>
      <c r="H378" s="19"/>
      <c r="I378" s="19"/>
      <c r="AE378" s="31" t="s">
        <v>130</v>
      </c>
    </row>
    <row r="379" spans="1:31" s="10" customFormat="1" x14ac:dyDescent="0.2">
      <c r="A379" s="32"/>
      <c r="B379" s="265"/>
      <c r="C379" s="45" t="s">
        <v>302</v>
      </c>
      <c r="D379" s="44"/>
      <c r="E379" s="36"/>
      <c r="F379" s="36"/>
      <c r="G379" s="36"/>
      <c r="H379" s="36"/>
      <c r="I379" s="36"/>
      <c r="K379" s="299"/>
      <c r="L379" s="300">
        <v>0.8</v>
      </c>
      <c r="M379" s="300">
        <v>0.8</v>
      </c>
      <c r="N379" s="300">
        <v>0.2</v>
      </c>
      <c r="O379" s="300">
        <v>0.3</v>
      </c>
      <c r="P379" s="300">
        <v>0.15</v>
      </c>
      <c r="Q379" s="300">
        <v>0.25</v>
      </c>
      <c r="R379" s="300">
        <v>1.5</v>
      </c>
    </row>
    <row r="380" spans="1:31" s="10" customFormat="1" x14ac:dyDescent="0.2">
      <c r="A380" s="32"/>
      <c r="B380" s="265"/>
      <c r="C380" s="273" t="s">
        <v>475</v>
      </c>
      <c r="D380" s="44"/>
      <c r="E380" s="36">
        <v>8</v>
      </c>
      <c r="F380" s="36">
        <v>10</v>
      </c>
      <c r="G380" s="36"/>
      <c r="H380" s="36">
        <v>3.75</v>
      </c>
      <c r="I380" s="36">
        <f>ROUND(PRODUCT(E380:H380),2)</f>
        <v>300</v>
      </c>
      <c r="L380" s="201"/>
    </row>
    <row r="381" spans="1:31" s="10" customFormat="1" x14ac:dyDescent="0.2">
      <c r="A381" s="32"/>
      <c r="B381" s="265"/>
      <c r="C381" s="273"/>
      <c r="D381" s="44"/>
      <c r="E381" s="36">
        <f>6*2</f>
        <v>12</v>
      </c>
      <c r="F381" s="36">
        <v>6.9</v>
      </c>
      <c r="G381" s="36"/>
      <c r="H381" s="36">
        <v>3.75</v>
      </c>
      <c r="I381" s="36">
        <f t="shared" ref="I381:I391" si="5">ROUND(PRODUCT(E381:H381),2)</f>
        <v>310.5</v>
      </c>
      <c r="L381" s="267" t="s">
        <v>81</v>
      </c>
      <c r="M381" s="267" t="s">
        <v>103</v>
      </c>
    </row>
    <row r="382" spans="1:31" s="10" customFormat="1" x14ac:dyDescent="0.2">
      <c r="A382" s="32"/>
      <c r="B382" s="265"/>
      <c r="C382" s="273" t="s">
        <v>407</v>
      </c>
      <c r="D382" s="44"/>
      <c r="E382" s="36"/>
      <c r="F382" s="36">
        <v>30.67</v>
      </c>
      <c r="G382" s="36"/>
      <c r="H382" s="36">
        <v>2.7</v>
      </c>
      <c r="I382" s="36">
        <f t="shared" si="5"/>
        <v>82.81</v>
      </c>
      <c r="L382" s="36">
        <v>0.2</v>
      </c>
      <c r="M382" s="36">
        <v>0.2</v>
      </c>
    </row>
    <row r="383" spans="1:31" s="10" customFormat="1" x14ac:dyDescent="0.2">
      <c r="A383" s="32"/>
      <c r="B383" s="265"/>
      <c r="C383" s="273" t="s">
        <v>289</v>
      </c>
      <c r="D383" s="44"/>
      <c r="E383" s="36"/>
      <c r="F383" s="36">
        <v>4.9000000000000004</v>
      </c>
      <c r="G383" s="36"/>
      <c r="H383" s="36">
        <v>2.7</v>
      </c>
      <c r="I383" s="36">
        <f t="shared" si="5"/>
        <v>13.23</v>
      </c>
      <c r="L383" s="201"/>
    </row>
    <row r="384" spans="1:31" s="10" customFormat="1" x14ac:dyDescent="0.2">
      <c r="A384" s="32"/>
      <c r="B384" s="265"/>
      <c r="C384" s="273"/>
      <c r="D384" s="44"/>
      <c r="E384" s="36">
        <v>2</v>
      </c>
      <c r="F384" s="36">
        <v>1.94</v>
      </c>
      <c r="G384" s="36"/>
      <c r="H384" s="36">
        <v>3.11</v>
      </c>
      <c r="I384" s="36">
        <f t="shared" si="5"/>
        <v>12.07</v>
      </c>
      <c r="L384" s="201"/>
    </row>
    <row r="385" spans="1:18" s="10" customFormat="1" x14ac:dyDescent="0.2">
      <c r="A385" s="32"/>
      <c r="B385" s="265"/>
      <c r="C385" s="273" t="s">
        <v>478</v>
      </c>
      <c r="D385" s="44"/>
      <c r="E385" s="36">
        <v>2</v>
      </c>
      <c r="F385" s="36">
        <v>5.15</v>
      </c>
      <c r="G385" s="36"/>
      <c r="H385" s="36">
        <v>2.5</v>
      </c>
      <c r="I385" s="36">
        <f t="shared" si="5"/>
        <v>25.75</v>
      </c>
      <c r="L385" s="201"/>
    </row>
    <row r="386" spans="1:18" s="10" customFormat="1" x14ac:dyDescent="0.2">
      <c r="A386" s="32"/>
      <c r="B386" s="265"/>
      <c r="C386" s="273"/>
      <c r="D386" s="44"/>
      <c r="E386" s="36">
        <v>2</v>
      </c>
      <c r="F386" s="36">
        <v>10.55</v>
      </c>
      <c r="G386" s="36"/>
      <c r="H386" s="36">
        <v>2.5</v>
      </c>
      <c r="I386" s="36">
        <f t="shared" si="5"/>
        <v>52.75</v>
      </c>
      <c r="L386" s="201"/>
    </row>
    <row r="387" spans="1:18" s="10" customFormat="1" x14ac:dyDescent="0.2">
      <c r="A387" s="32"/>
      <c r="B387" s="265"/>
      <c r="C387" s="273"/>
      <c r="D387" s="44"/>
      <c r="E387" s="36">
        <v>10</v>
      </c>
      <c r="F387" s="36">
        <v>1.5</v>
      </c>
      <c r="G387" s="36"/>
      <c r="H387" s="36">
        <v>2.1</v>
      </c>
      <c r="I387" s="36">
        <f t="shared" si="5"/>
        <v>31.5</v>
      </c>
      <c r="L387" s="201"/>
    </row>
    <row r="388" spans="1:18" s="10" customFormat="1" x14ac:dyDescent="0.2">
      <c r="A388" s="32"/>
      <c r="B388" s="265"/>
      <c r="C388" s="273"/>
      <c r="D388" s="44"/>
      <c r="E388" s="36">
        <v>2</v>
      </c>
      <c r="F388" s="36">
        <v>2</v>
      </c>
      <c r="G388" s="36"/>
      <c r="H388" s="36">
        <v>2.1</v>
      </c>
      <c r="I388" s="36">
        <f t="shared" si="5"/>
        <v>8.4</v>
      </c>
      <c r="L388" s="267" t="s">
        <v>81</v>
      </c>
      <c r="M388" s="267" t="s">
        <v>103</v>
      </c>
    </row>
    <row r="389" spans="1:18" s="10" customFormat="1" x14ac:dyDescent="0.2">
      <c r="A389" s="32"/>
      <c r="B389" s="265"/>
      <c r="C389" s="273"/>
      <c r="D389" s="44"/>
      <c r="E389" s="36">
        <v>2</v>
      </c>
      <c r="F389" s="36">
        <v>1.85</v>
      </c>
      <c r="G389" s="36"/>
      <c r="H389" s="36">
        <v>2.1</v>
      </c>
      <c r="I389" s="36">
        <f t="shared" si="5"/>
        <v>7.77</v>
      </c>
      <c r="L389" s="36">
        <v>0.2</v>
      </c>
      <c r="M389" s="36">
        <v>0.2</v>
      </c>
    </row>
    <row r="390" spans="1:18" s="10" customFormat="1" x14ac:dyDescent="0.2">
      <c r="A390" s="32"/>
      <c r="B390" s="265"/>
      <c r="C390" s="273" t="s">
        <v>789</v>
      </c>
      <c r="D390" s="44"/>
      <c r="E390" s="36">
        <v>2</v>
      </c>
      <c r="F390" s="36">
        <v>0.95</v>
      </c>
      <c r="G390" s="36"/>
      <c r="H390" s="36">
        <v>3.75</v>
      </c>
      <c r="I390" s="36">
        <f>ROUND(PRODUCT(E390:H390),2)</f>
        <v>7.13</v>
      </c>
      <c r="K390" s="299"/>
      <c r="L390" s="300">
        <v>0.8</v>
      </c>
      <c r="M390" s="300">
        <v>0.8</v>
      </c>
      <c r="N390" s="300">
        <v>0.2</v>
      </c>
      <c r="O390" s="300">
        <v>0.3</v>
      </c>
      <c r="P390" s="300">
        <v>0.15</v>
      </c>
      <c r="Q390" s="300">
        <v>0.25</v>
      </c>
      <c r="R390" s="300">
        <v>1.5</v>
      </c>
    </row>
    <row r="391" spans="1:18" s="10" customFormat="1" x14ac:dyDescent="0.2">
      <c r="A391" s="32"/>
      <c r="B391" s="265"/>
      <c r="C391" s="273" t="s">
        <v>793</v>
      </c>
      <c r="D391" s="44"/>
      <c r="E391" s="36">
        <v>13</v>
      </c>
      <c r="F391" s="36">
        <v>1.55</v>
      </c>
      <c r="G391" s="36"/>
      <c r="H391" s="36">
        <v>4.5</v>
      </c>
      <c r="I391" s="36">
        <f t="shared" si="5"/>
        <v>90.68</v>
      </c>
      <c r="K391" s="299"/>
      <c r="L391" s="300">
        <v>0.8</v>
      </c>
      <c r="M391" s="300">
        <v>0.8</v>
      </c>
      <c r="N391" s="300">
        <v>0.2</v>
      </c>
      <c r="O391" s="300">
        <v>0.3</v>
      </c>
      <c r="P391" s="300">
        <v>0.15</v>
      </c>
      <c r="Q391" s="300">
        <v>0.25</v>
      </c>
      <c r="R391" s="300">
        <v>1.5</v>
      </c>
    </row>
    <row r="392" spans="1:18" s="10" customFormat="1" x14ac:dyDescent="0.2">
      <c r="A392" s="32"/>
      <c r="B392" s="265"/>
      <c r="C392" s="45" t="s">
        <v>300</v>
      </c>
      <c r="D392" s="44"/>
      <c r="E392" s="36">
        <v>-7</v>
      </c>
      <c r="F392" s="36">
        <v>0.9</v>
      </c>
      <c r="G392" s="36"/>
      <c r="H392" s="36">
        <v>2.1</v>
      </c>
      <c r="I392" s="36">
        <f t="shared" ref="I392:I397" si="6">ROUND((PRODUCT(E392:H392)),2)</f>
        <v>-13.23</v>
      </c>
    </row>
    <row r="393" spans="1:18" s="10" customFormat="1" x14ac:dyDescent="0.2">
      <c r="A393" s="32"/>
      <c r="B393" s="265"/>
      <c r="C393" s="273"/>
      <c r="D393" s="44"/>
      <c r="E393" s="36">
        <v>-2</v>
      </c>
      <c r="F393" s="36">
        <v>1</v>
      </c>
      <c r="G393" s="36"/>
      <c r="H393" s="36">
        <v>2.1</v>
      </c>
      <c r="I393" s="36">
        <f t="shared" si="6"/>
        <v>-4.2</v>
      </c>
    </row>
    <row r="394" spans="1:18" s="10" customFormat="1" x14ac:dyDescent="0.2">
      <c r="A394" s="32"/>
      <c r="B394" s="265"/>
      <c r="C394" s="273"/>
      <c r="D394" s="44"/>
      <c r="E394" s="36">
        <v>-12</v>
      </c>
      <c r="F394" s="36">
        <v>3</v>
      </c>
      <c r="G394" s="36"/>
      <c r="H394" s="36">
        <v>1.5</v>
      </c>
      <c r="I394" s="36">
        <f t="shared" si="6"/>
        <v>-54</v>
      </c>
    </row>
    <row r="395" spans="1:18" s="10" customFormat="1" x14ac:dyDescent="0.2">
      <c r="A395" s="32"/>
      <c r="B395" s="265"/>
      <c r="C395" s="273"/>
      <c r="D395" s="44"/>
      <c r="E395" s="36">
        <v>-4</v>
      </c>
      <c r="F395" s="36">
        <v>1.4</v>
      </c>
      <c r="G395" s="36"/>
      <c r="H395" s="36">
        <v>0.4</v>
      </c>
      <c r="I395" s="36">
        <f t="shared" si="6"/>
        <v>-2.2400000000000002</v>
      </c>
    </row>
    <row r="396" spans="1:18" s="30" customFormat="1" x14ac:dyDescent="0.2">
      <c r="A396" s="32"/>
      <c r="B396" s="265"/>
      <c r="C396" s="273"/>
      <c r="D396" s="44"/>
      <c r="E396" s="36">
        <v>-2</v>
      </c>
      <c r="F396" s="36">
        <v>0.9</v>
      </c>
      <c r="G396" s="36"/>
      <c r="H396" s="36">
        <v>2.1</v>
      </c>
      <c r="I396" s="36">
        <f t="shared" si="6"/>
        <v>-3.78</v>
      </c>
      <c r="J396" s="10"/>
      <c r="L396" s="10"/>
    </row>
    <row r="397" spans="1:18" s="10" customFormat="1" x14ac:dyDescent="0.2">
      <c r="A397" s="32"/>
      <c r="B397" s="265"/>
      <c r="C397" s="273" t="s">
        <v>571</v>
      </c>
      <c r="D397" s="44"/>
      <c r="E397" s="36">
        <v>-1</v>
      </c>
      <c r="F397" s="36">
        <f>I434</f>
        <v>19.66</v>
      </c>
      <c r="G397" s="36"/>
      <c r="H397" s="36"/>
      <c r="I397" s="36">
        <f t="shared" si="6"/>
        <v>-19.66</v>
      </c>
    </row>
    <row r="398" spans="1:18" s="10" customFormat="1" x14ac:dyDescent="0.2">
      <c r="A398" s="32"/>
      <c r="B398" s="265"/>
      <c r="C398" s="273"/>
      <c r="D398" s="44"/>
      <c r="E398" s="36"/>
      <c r="F398" s="36" t="s">
        <v>201</v>
      </c>
      <c r="G398" s="36"/>
      <c r="H398" s="36"/>
      <c r="I398" s="36"/>
    </row>
    <row r="399" spans="1:18" s="10" customFormat="1" x14ac:dyDescent="0.2">
      <c r="A399" s="32"/>
      <c r="B399" s="265"/>
      <c r="C399" s="273" t="s">
        <v>847</v>
      </c>
      <c r="D399" s="44"/>
      <c r="E399" s="36">
        <v>-1</v>
      </c>
      <c r="F399" s="36">
        <v>179.93</v>
      </c>
      <c r="G399" s="36"/>
      <c r="H399" s="36"/>
      <c r="I399" s="36">
        <f>ROUND(PRODUCT(E399:H399),2)</f>
        <v>-179.93</v>
      </c>
    </row>
    <row r="400" spans="1:18" s="10" customFormat="1" x14ac:dyDescent="0.2">
      <c r="A400" s="32"/>
      <c r="B400" s="265"/>
      <c r="C400" s="45" t="str">
        <f>"Total item "&amp;A378</f>
        <v>Total item 6.1</v>
      </c>
      <c r="D400" s="44"/>
      <c r="E400" s="36"/>
      <c r="F400" s="36"/>
      <c r="G400" s="36"/>
      <c r="H400" s="36"/>
      <c r="I400" s="19">
        <f>SUM(I379:I399)</f>
        <v>665.55</v>
      </c>
    </row>
    <row r="401" spans="1:31" s="10" customFormat="1" x14ac:dyDescent="0.2">
      <c r="A401" s="32"/>
      <c r="B401" s="265"/>
      <c r="C401" s="301"/>
      <c r="D401" s="33"/>
      <c r="E401" s="267"/>
      <c r="F401" s="267"/>
      <c r="G401" s="267"/>
      <c r="H401" s="267"/>
      <c r="I401" s="267"/>
    </row>
    <row r="402" spans="1:31" s="31" customFormat="1" ht="45" x14ac:dyDescent="0.2">
      <c r="A402" s="268" t="s">
        <v>21</v>
      </c>
      <c r="B402" s="269" t="s">
        <v>59</v>
      </c>
      <c r="C402" s="270" t="s">
        <v>156</v>
      </c>
      <c r="D402" s="271" t="s">
        <v>112</v>
      </c>
      <c r="E402" s="19"/>
      <c r="F402" s="272"/>
      <c r="G402" s="19"/>
      <c r="H402" s="19"/>
      <c r="I402" s="19"/>
      <c r="AE402" s="31" t="s">
        <v>131</v>
      </c>
    </row>
    <row r="403" spans="1:31" s="10" customFormat="1" x14ac:dyDescent="0.2">
      <c r="A403" s="32"/>
      <c r="B403" s="265"/>
      <c r="C403" s="273" t="s">
        <v>479</v>
      </c>
      <c r="D403" s="44"/>
      <c r="E403" s="36">
        <v>2</v>
      </c>
      <c r="F403" s="36">
        <f>I400</f>
        <v>665.55</v>
      </c>
      <c r="G403" s="36"/>
      <c r="H403" s="36"/>
      <c r="I403" s="36">
        <f>ROUND((PRODUCT(E403:H403)),2)</f>
        <v>1331.1</v>
      </c>
    </row>
    <row r="404" spans="1:31" s="10" customFormat="1" x14ac:dyDescent="0.2">
      <c r="A404" s="32"/>
      <c r="B404" s="265"/>
      <c r="C404" s="45" t="s">
        <v>848</v>
      </c>
      <c r="D404" s="44"/>
      <c r="E404" s="36"/>
      <c r="F404" s="36">
        <f>I360</f>
        <v>817.00000000000023</v>
      </c>
      <c r="G404" s="36"/>
      <c r="H404" s="36"/>
      <c r="I404" s="36">
        <f>ROUND(PRODUCT(E404:H404),2)</f>
        <v>817</v>
      </c>
    </row>
    <row r="405" spans="1:31" s="10" customFormat="1" x14ac:dyDescent="0.2">
      <c r="A405" s="32"/>
      <c r="B405" s="265"/>
      <c r="C405" s="45" t="str">
        <f>"Total item "&amp;A402</f>
        <v>Total item 6.2</v>
      </c>
      <c r="D405" s="44"/>
      <c r="E405" s="36"/>
      <c r="F405" s="36"/>
      <c r="G405" s="36"/>
      <c r="H405" s="36"/>
      <c r="I405" s="19">
        <f>SUM(I403:I404)</f>
        <v>2148.1</v>
      </c>
    </row>
    <row r="406" spans="1:31" s="10" customFormat="1" x14ac:dyDescent="0.2">
      <c r="A406" s="32"/>
      <c r="B406" s="265"/>
      <c r="C406" s="266"/>
      <c r="D406" s="33"/>
      <c r="E406" s="267"/>
      <c r="F406" s="267"/>
      <c r="G406" s="267"/>
      <c r="H406" s="267"/>
      <c r="I406" s="267"/>
    </row>
    <row r="407" spans="1:31" s="31" customFormat="1" ht="56.25" x14ac:dyDescent="0.2">
      <c r="A407" s="268" t="s">
        <v>22</v>
      </c>
      <c r="B407" s="269" t="s">
        <v>59</v>
      </c>
      <c r="C407" s="270" t="s">
        <v>257</v>
      </c>
      <c r="D407" s="271" t="s">
        <v>112</v>
      </c>
      <c r="E407" s="19"/>
      <c r="F407" s="272"/>
      <c r="G407" s="19"/>
      <c r="H407" s="19"/>
      <c r="I407" s="19"/>
      <c r="AE407" s="31" t="s">
        <v>132</v>
      </c>
    </row>
    <row r="408" spans="1:31" s="10" customFormat="1" x14ac:dyDescent="0.2">
      <c r="A408" s="32"/>
      <c r="B408" s="265"/>
      <c r="C408" s="273" t="s">
        <v>479</v>
      </c>
      <c r="D408" s="44"/>
      <c r="E408" s="36">
        <v>2</v>
      </c>
      <c r="F408" s="36">
        <f>I400</f>
        <v>665.55</v>
      </c>
      <c r="G408" s="36"/>
      <c r="H408" s="36"/>
      <c r="I408" s="36">
        <f>ROUND((PRODUCT(E408:H408)),2)</f>
        <v>1331.1</v>
      </c>
    </row>
    <row r="409" spans="1:31" s="10" customFormat="1" x14ac:dyDescent="0.2">
      <c r="A409" s="32"/>
      <c r="B409" s="265"/>
      <c r="C409" s="45" t="s">
        <v>848</v>
      </c>
      <c r="D409" s="44"/>
      <c r="E409" s="36"/>
      <c r="F409" s="36">
        <f>I357</f>
        <v>55.92</v>
      </c>
      <c r="G409" s="36"/>
      <c r="H409" s="36"/>
      <c r="I409" s="36">
        <f>ROUND((PRODUCT(E409:H409)),2)</f>
        <v>55.92</v>
      </c>
    </row>
    <row r="410" spans="1:31" s="10" customFormat="1" x14ac:dyDescent="0.2">
      <c r="A410" s="32"/>
      <c r="B410" s="265"/>
      <c r="C410" s="45" t="str">
        <f>"Total item "&amp;A407</f>
        <v>Total item 6.3</v>
      </c>
      <c r="D410" s="44"/>
      <c r="E410" s="36"/>
      <c r="F410" s="36"/>
      <c r="G410" s="36"/>
      <c r="H410" s="36"/>
      <c r="I410" s="19">
        <f>SUM(I408:I409)</f>
        <v>1387.02</v>
      </c>
    </row>
    <row r="411" spans="1:31" s="10" customFormat="1" x14ac:dyDescent="0.2">
      <c r="A411" s="32"/>
      <c r="B411" s="265"/>
      <c r="D411" s="44"/>
      <c r="E411" s="36"/>
      <c r="F411" s="36"/>
      <c r="G411" s="36"/>
      <c r="H411" s="36"/>
    </row>
    <row r="412" spans="1:31" s="10" customFormat="1" x14ac:dyDescent="0.2">
      <c r="A412" s="32"/>
      <c r="B412" s="265"/>
      <c r="C412" s="266"/>
      <c r="D412" s="33"/>
      <c r="E412" s="267"/>
      <c r="F412" s="267"/>
      <c r="G412" s="267"/>
      <c r="H412" s="267"/>
      <c r="I412" s="267"/>
    </row>
    <row r="413" spans="1:31" s="31" customFormat="1" ht="45" x14ac:dyDescent="0.2">
      <c r="A413" s="268" t="s">
        <v>274</v>
      </c>
      <c r="B413" s="269" t="s">
        <v>506</v>
      </c>
      <c r="C413" s="270" t="s">
        <v>505</v>
      </c>
      <c r="D413" s="271" t="s">
        <v>112</v>
      </c>
      <c r="E413" s="19"/>
      <c r="F413" s="272"/>
      <c r="G413" s="19"/>
      <c r="H413" s="19"/>
      <c r="I413" s="19"/>
      <c r="AE413" s="31" t="s">
        <v>133</v>
      </c>
    </row>
    <row r="414" spans="1:31" s="10" customFormat="1" x14ac:dyDescent="0.2">
      <c r="A414" s="32"/>
      <c r="B414" s="265"/>
      <c r="C414" s="273" t="s">
        <v>478</v>
      </c>
      <c r="D414" s="44"/>
      <c r="E414" s="36">
        <v>4</v>
      </c>
      <c r="F414" s="36">
        <v>5.15</v>
      </c>
      <c r="G414" s="36"/>
      <c r="H414" s="36">
        <v>1.5</v>
      </c>
      <c r="I414" s="36">
        <f t="shared" ref="I414:I420" si="7">ROUND(PRODUCT(E414:H414),2)</f>
        <v>30.9</v>
      </c>
      <c r="L414" s="201"/>
    </row>
    <row r="415" spans="1:31" s="10" customFormat="1" x14ac:dyDescent="0.2">
      <c r="A415" s="32"/>
      <c r="B415" s="265"/>
      <c r="C415" s="273"/>
      <c r="D415" s="44"/>
      <c r="E415" s="36">
        <v>4</v>
      </c>
      <c r="F415" s="36">
        <v>10.55</v>
      </c>
      <c r="G415" s="36"/>
      <c r="H415" s="36">
        <v>1.5</v>
      </c>
      <c r="I415" s="36">
        <f t="shared" si="7"/>
        <v>63.3</v>
      </c>
      <c r="L415" s="201"/>
    </row>
    <row r="416" spans="1:31" s="10" customFormat="1" x14ac:dyDescent="0.2">
      <c r="A416" s="32"/>
      <c r="B416" s="265"/>
      <c r="C416" s="273"/>
      <c r="D416" s="44"/>
      <c r="E416" s="36">
        <v>20</v>
      </c>
      <c r="F416" s="36">
        <v>1.5</v>
      </c>
      <c r="G416" s="36"/>
      <c r="H416" s="36">
        <v>1.5</v>
      </c>
      <c r="I416" s="36">
        <f t="shared" si="7"/>
        <v>45</v>
      </c>
      <c r="L416" s="201"/>
    </row>
    <row r="417" spans="1:31" s="10" customFormat="1" x14ac:dyDescent="0.2">
      <c r="A417" s="32"/>
      <c r="B417" s="265"/>
      <c r="C417" s="273"/>
      <c r="D417" s="44"/>
      <c r="E417" s="36">
        <v>6</v>
      </c>
      <c r="F417" s="36">
        <v>2</v>
      </c>
      <c r="G417" s="36"/>
      <c r="H417" s="36">
        <v>1.5</v>
      </c>
      <c r="I417" s="36">
        <f t="shared" si="7"/>
        <v>18</v>
      </c>
      <c r="L417" s="267" t="s">
        <v>81</v>
      </c>
      <c r="M417" s="267" t="s">
        <v>103</v>
      </c>
    </row>
    <row r="418" spans="1:31" s="10" customFormat="1" x14ac:dyDescent="0.2">
      <c r="A418" s="32"/>
      <c r="B418" s="265"/>
      <c r="C418" s="273"/>
      <c r="D418" s="44"/>
      <c r="E418" s="36">
        <v>6</v>
      </c>
      <c r="F418" s="36">
        <v>1.85</v>
      </c>
      <c r="G418" s="36"/>
      <c r="H418" s="36">
        <v>1.5</v>
      </c>
      <c r="I418" s="36">
        <f t="shared" si="7"/>
        <v>16.649999999999999</v>
      </c>
      <c r="L418" s="36">
        <v>0.2</v>
      </c>
      <c r="M418" s="36">
        <v>0.2</v>
      </c>
    </row>
    <row r="419" spans="1:31" s="10" customFormat="1" x14ac:dyDescent="0.2">
      <c r="A419" s="32"/>
      <c r="B419" s="265"/>
      <c r="C419" s="273" t="s">
        <v>790</v>
      </c>
      <c r="D419" s="44"/>
      <c r="E419" s="36">
        <f>2*6</f>
        <v>12</v>
      </c>
      <c r="F419" s="36">
        <v>10</v>
      </c>
      <c r="G419" s="36"/>
      <c r="H419" s="36">
        <v>1.5</v>
      </c>
      <c r="I419" s="36">
        <f t="shared" si="7"/>
        <v>180</v>
      </c>
      <c r="L419" s="201"/>
    </row>
    <row r="420" spans="1:31" s="10" customFormat="1" x14ac:dyDescent="0.2">
      <c r="A420" s="32"/>
      <c r="B420" s="265"/>
      <c r="C420" s="273"/>
      <c r="D420" s="44"/>
      <c r="E420" s="36">
        <f>E419</f>
        <v>12</v>
      </c>
      <c r="F420" s="36">
        <v>6.9</v>
      </c>
      <c r="G420" s="36"/>
      <c r="H420" s="36">
        <v>1.5</v>
      </c>
      <c r="I420" s="36">
        <f t="shared" si="7"/>
        <v>124.2</v>
      </c>
      <c r="L420" s="267" t="s">
        <v>81</v>
      </c>
      <c r="M420" s="267" t="s">
        <v>103</v>
      </c>
    </row>
    <row r="421" spans="1:31" s="10" customFormat="1" x14ac:dyDescent="0.2">
      <c r="A421" s="32"/>
      <c r="B421" s="265"/>
      <c r="C421" s="273" t="s">
        <v>303</v>
      </c>
      <c r="D421" s="44"/>
      <c r="E421" s="36"/>
      <c r="F421" s="36"/>
      <c r="G421" s="36"/>
      <c r="H421" s="36"/>
      <c r="I421" s="36">
        <f>ROUND((PRODUCT(E421:H421)),2)</f>
        <v>0</v>
      </c>
    </row>
    <row r="422" spans="1:31" s="10" customFormat="1" x14ac:dyDescent="0.2">
      <c r="A422" s="32"/>
      <c r="B422" s="265"/>
      <c r="D422" s="44"/>
      <c r="E422" s="36">
        <v>-4</v>
      </c>
      <c r="F422" s="36">
        <v>0.9</v>
      </c>
      <c r="G422" s="36"/>
      <c r="H422" s="36">
        <v>1.5</v>
      </c>
      <c r="I422" s="36">
        <f>ROUND((PRODUCT(E422:H422)),2)</f>
        <v>-5.4</v>
      </c>
    </row>
    <row r="423" spans="1:31" s="10" customFormat="1" x14ac:dyDescent="0.2">
      <c r="A423" s="32"/>
      <c r="B423" s="265"/>
      <c r="C423" s="273"/>
      <c r="D423" s="44"/>
      <c r="E423" s="36">
        <v>-2</v>
      </c>
      <c r="F423" s="36">
        <v>1</v>
      </c>
      <c r="G423" s="36"/>
      <c r="H423" s="36">
        <v>1.5</v>
      </c>
      <c r="I423" s="36">
        <f>ROUND((PRODUCT(E423:H423)),2)</f>
        <v>-3</v>
      </c>
    </row>
    <row r="424" spans="1:31" s="10" customFormat="1" x14ac:dyDescent="0.2">
      <c r="A424" s="32"/>
      <c r="B424" s="265"/>
      <c r="C424" s="273"/>
      <c r="D424" s="44"/>
      <c r="E424" s="36">
        <v>-6</v>
      </c>
      <c r="F424" s="36">
        <v>0.9</v>
      </c>
      <c r="G424" s="36"/>
      <c r="H424" s="36">
        <v>1.5</v>
      </c>
      <c r="I424" s="36">
        <f>ROUND((PRODUCT(E424:H424)),2)</f>
        <v>-8.1</v>
      </c>
    </row>
    <row r="425" spans="1:31" s="10" customFormat="1" x14ac:dyDescent="0.2">
      <c r="A425" s="32"/>
      <c r="B425" s="265"/>
      <c r="C425" s="273"/>
      <c r="D425" s="44"/>
      <c r="E425" s="36">
        <v>-12</v>
      </c>
      <c r="F425" s="36">
        <v>3</v>
      </c>
      <c r="G425" s="36"/>
      <c r="H425" s="36">
        <v>0.4</v>
      </c>
      <c r="I425" s="36">
        <f>ROUND((PRODUCT(E425:H425)),2)</f>
        <v>-14.4</v>
      </c>
    </row>
    <row r="426" spans="1:31" s="10" customFormat="1" x14ac:dyDescent="0.2">
      <c r="A426" s="32"/>
      <c r="B426" s="265"/>
      <c r="C426" s="273"/>
      <c r="D426" s="44"/>
      <c r="E426" s="36"/>
      <c r="F426" s="36" t="s">
        <v>201</v>
      </c>
      <c r="G426" s="36"/>
      <c r="H426" s="36"/>
      <c r="I426" s="36"/>
    </row>
    <row r="427" spans="1:31" s="10" customFormat="1" x14ac:dyDescent="0.2">
      <c r="A427" s="32"/>
      <c r="B427" s="265"/>
      <c r="C427" s="273" t="s">
        <v>849</v>
      </c>
      <c r="D427" s="44"/>
      <c r="E427" s="36">
        <v>-1</v>
      </c>
      <c r="F427" s="36">
        <v>67.31</v>
      </c>
      <c r="G427" s="36"/>
      <c r="H427" s="36"/>
      <c r="I427" s="36">
        <f>ROUND(PRODUCT(E427:H427),2)</f>
        <v>-67.31</v>
      </c>
    </row>
    <row r="428" spans="1:31" s="10" customFormat="1" x14ac:dyDescent="0.2">
      <c r="A428" s="32"/>
      <c r="B428" s="265"/>
      <c r="C428" s="45" t="str">
        <f>"Total item "&amp;A413</f>
        <v>Total item 6.4</v>
      </c>
      <c r="D428" s="44"/>
      <c r="E428" s="36"/>
      <c r="F428" s="36"/>
      <c r="G428" s="36"/>
      <c r="H428" s="36"/>
      <c r="I428" s="19">
        <f>SUM(I414:I427)</f>
        <v>379.84000000000003</v>
      </c>
    </row>
    <row r="429" spans="1:31" s="10" customFormat="1" x14ac:dyDescent="0.2">
      <c r="A429" s="32"/>
      <c r="B429" s="265"/>
      <c r="C429" s="45"/>
      <c r="D429" s="44"/>
      <c r="E429" s="36"/>
      <c r="F429" s="36"/>
      <c r="G429" s="36"/>
      <c r="H429" s="36"/>
      <c r="I429" s="36"/>
    </row>
    <row r="430" spans="1:31" s="31" customFormat="1" ht="45" x14ac:dyDescent="0.2">
      <c r="A430" s="268" t="s">
        <v>818</v>
      </c>
      <c r="B430" s="269" t="s">
        <v>59</v>
      </c>
      <c r="C430" s="270" t="s">
        <v>569</v>
      </c>
      <c r="D430" s="271" t="s">
        <v>112</v>
      </c>
      <c r="E430" s="19"/>
      <c r="F430" s="272"/>
      <c r="G430" s="19"/>
      <c r="H430" s="19"/>
      <c r="I430" s="19"/>
      <c r="AE430" s="31" t="s">
        <v>133</v>
      </c>
    </row>
    <row r="431" spans="1:31" s="10" customFormat="1" x14ac:dyDescent="0.2">
      <c r="A431" s="32"/>
      <c r="B431" s="265"/>
      <c r="C431" s="273"/>
      <c r="D431" s="44"/>
      <c r="E431" s="36">
        <v>10</v>
      </c>
      <c r="F431" s="36">
        <v>3.25</v>
      </c>
      <c r="G431" s="36"/>
      <c r="H431" s="36">
        <v>1</v>
      </c>
      <c r="I431" s="36">
        <f>ROUND(PRODUCT(E431:H431),2)</f>
        <v>32.5</v>
      </c>
      <c r="L431" s="201"/>
    </row>
    <row r="432" spans="1:31" s="10" customFormat="1" x14ac:dyDescent="0.2">
      <c r="A432" s="32"/>
      <c r="B432" s="265"/>
      <c r="C432" s="273"/>
      <c r="D432" s="44"/>
      <c r="E432" s="36"/>
      <c r="F432" s="36" t="s">
        <v>201</v>
      </c>
      <c r="G432" s="36"/>
      <c r="H432" s="36"/>
      <c r="I432" s="36"/>
      <c r="L432" s="201"/>
    </row>
    <row r="433" spans="1:31" s="10" customFormat="1" x14ac:dyDescent="0.2">
      <c r="A433" s="32"/>
      <c r="B433" s="265"/>
      <c r="C433" s="273" t="s">
        <v>850</v>
      </c>
      <c r="D433" s="44"/>
      <c r="E433" s="36">
        <v>-1</v>
      </c>
      <c r="F433" s="36">
        <v>12.84</v>
      </c>
      <c r="G433" s="36"/>
      <c r="H433" s="36"/>
      <c r="I433" s="36">
        <f>ROUND(PRODUCT(E433:H433),2)</f>
        <v>-12.84</v>
      </c>
      <c r="L433" s="201"/>
    </row>
    <row r="434" spans="1:31" s="10" customFormat="1" x14ac:dyDescent="0.2">
      <c r="A434" s="32"/>
      <c r="B434" s="265"/>
      <c r="C434" s="45" t="str">
        <f>"Total item "&amp;A430</f>
        <v>Total item 6.5</v>
      </c>
      <c r="D434" s="44"/>
      <c r="E434" s="36"/>
      <c r="F434" s="36"/>
      <c r="G434" s="36"/>
      <c r="H434" s="36"/>
      <c r="I434" s="19">
        <f>SUM(I431:I433)</f>
        <v>19.66</v>
      </c>
    </row>
    <row r="435" spans="1:31" s="10" customFormat="1" x14ac:dyDescent="0.2">
      <c r="A435" s="32"/>
      <c r="B435" s="265"/>
      <c r="C435" s="45"/>
      <c r="D435" s="44"/>
      <c r="E435" s="36"/>
      <c r="F435" s="36"/>
      <c r="G435" s="36"/>
      <c r="H435" s="36"/>
      <c r="I435" s="36"/>
    </row>
    <row r="436" spans="1:31" s="263" customFormat="1" ht="10.5" customHeight="1" x14ac:dyDescent="0.2">
      <c r="A436" s="252" t="s">
        <v>237</v>
      </c>
      <c r="B436" s="253"/>
      <c r="C436" s="254" t="s">
        <v>43</v>
      </c>
      <c r="D436" s="255"/>
      <c r="E436" s="256"/>
      <c r="F436" s="256"/>
      <c r="G436" s="256"/>
      <c r="H436" s="256"/>
      <c r="I436" s="256"/>
      <c r="J436" s="261" t="s">
        <v>110</v>
      </c>
      <c r="K436" s="262" t="s">
        <v>160</v>
      </c>
      <c r="AE436" s="264"/>
    </row>
    <row r="437" spans="1:31" s="10" customFormat="1" x14ac:dyDescent="0.2">
      <c r="A437" s="32"/>
      <c r="B437" s="265"/>
      <c r="C437" s="266"/>
      <c r="D437" s="33"/>
      <c r="E437" s="267"/>
      <c r="F437" s="267"/>
      <c r="G437" s="267"/>
      <c r="H437" s="267"/>
      <c r="I437" s="267"/>
    </row>
    <row r="438" spans="1:31" s="31" customFormat="1" ht="33.75" x14ac:dyDescent="0.2">
      <c r="A438" s="268" t="s">
        <v>29</v>
      </c>
      <c r="B438" s="269" t="s">
        <v>59</v>
      </c>
      <c r="C438" s="270" t="s">
        <v>508</v>
      </c>
      <c r="D438" s="271" t="s">
        <v>112</v>
      </c>
      <c r="E438" s="19"/>
      <c r="F438" s="272"/>
      <c r="G438" s="19"/>
      <c r="H438" s="19"/>
      <c r="I438" s="19"/>
      <c r="AE438" s="31" t="s">
        <v>134</v>
      </c>
    </row>
    <row r="439" spans="1:31" s="30" customFormat="1" x14ac:dyDescent="0.2">
      <c r="A439" s="32"/>
      <c r="B439" s="265"/>
      <c r="C439" s="273" t="s">
        <v>473</v>
      </c>
      <c r="D439" s="273"/>
      <c r="E439" s="273"/>
      <c r="F439" s="36">
        <v>6</v>
      </c>
      <c r="G439" s="36">
        <v>3.5</v>
      </c>
      <c r="H439" s="36"/>
      <c r="I439" s="36">
        <f>ROUND(PRODUCT(E439:H439),2)</f>
        <v>21</v>
      </c>
      <c r="J439" s="10"/>
      <c r="L439" s="10"/>
    </row>
    <row r="440" spans="1:31" s="10" customFormat="1" x14ac:dyDescent="0.2">
      <c r="A440" s="32"/>
      <c r="B440" s="265"/>
      <c r="C440" s="45" t="str">
        <f>"Total item "&amp;A438</f>
        <v>Total item 7.1</v>
      </c>
      <c r="D440" s="44"/>
      <c r="E440" s="36"/>
      <c r="F440" s="36"/>
      <c r="G440" s="36"/>
      <c r="H440" s="36"/>
      <c r="I440" s="19">
        <f>SUM(I439:I439)</f>
        <v>21</v>
      </c>
    </row>
    <row r="441" spans="1:31" s="10" customFormat="1" x14ac:dyDescent="0.2">
      <c r="A441" s="32"/>
      <c r="B441" s="265"/>
      <c r="C441" s="266"/>
      <c r="D441" s="33"/>
      <c r="E441" s="267"/>
      <c r="F441" s="267"/>
      <c r="G441" s="267"/>
      <c r="H441" s="267"/>
      <c r="I441" s="267"/>
    </row>
    <row r="442" spans="1:31" s="31" customFormat="1" ht="56.25" x14ac:dyDescent="0.2">
      <c r="A442" s="268" t="s">
        <v>30</v>
      </c>
      <c r="B442" s="269" t="s">
        <v>59</v>
      </c>
      <c r="C442" s="270" t="s">
        <v>509</v>
      </c>
      <c r="D442" s="271" t="s">
        <v>112</v>
      </c>
      <c r="E442" s="19"/>
      <c r="F442" s="272"/>
      <c r="G442" s="19"/>
      <c r="H442" s="19"/>
      <c r="I442" s="19"/>
      <c r="AE442" s="31" t="s">
        <v>135</v>
      </c>
    </row>
    <row r="443" spans="1:31" s="30" customFormat="1" x14ac:dyDescent="0.2">
      <c r="A443" s="32"/>
      <c r="B443" s="265"/>
      <c r="C443" s="273" t="s">
        <v>247</v>
      </c>
      <c r="D443" s="273"/>
      <c r="E443" s="273"/>
      <c r="F443" s="36">
        <v>10</v>
      </c>
      <c r="G443" s="36">
        <v>6.9</v>
      </c>
      <c r="H443" s="36"/>
      <c r="I443" s="36">
        <f t="shared" ref="I443:I451" si="8">ROUND(PRODUCT(E443:H443),2)</f>
        <v>69</v>
      </c>
      <c r="J443" s="10"/>
      <c r="L443" s="10"/>
    </row>
    <row r="444" spans="1:31" s="30" customFormat="1" x14ac:dyDescent="0.2">
      <c r="A444" s="32"/>
      <c r="B444" s="265"/>
      <c r="C444" s="273" t="s">
        <v>291</v>
      </c>
      <c r="D444" s="44"/>
      <c r="E444" s="36"/>
      <c r="F444" s="36">
        <v>10</v>
      </c>
      <c r="G444" s="36">
        <v>6.9</v>
      </c>
      <c r="H444" s="36"/>
      <c r="I444" s="36">
        <f t="shared" si="8"/>
        <v>69</v>
      </c>
      <c r="J444" s="10"/>
      <c r="L444" s="10"/>
    </row>
    <row r="445" spans="1:31" s="30" customFormat="1" x14ac:dyDescent="0.2">
      <c r="A445" s="32"/>
      <c r="B445" s="265"/>
      <c r="C445" s="273" t="s">
        <v>292</v>
      </c>
      <c r="D445" s="44"/>
      <c r="E445" s="36"/>
      <c r="F445" s="36">
        <v>10</v>
      </c>
      <c r="G445" s="36">
        <v>6.9</v>
      </c>
      <c r="H445" s="36"/>
      <c r="I445" s="36">
        <f t="shared" si="8"/>
        <v>69</v>
      </c>
      <c r="J445" s="10"/>
      <c r="L445" s="10"/>
    </row>
    <row r="446" spans="1:31" s="30" customFormat="1" x14ac:dyDescent="0.2">
      <c r="A446" s="32"/>
      <c r="B446" s="265"/>
      <c r="C446" s="273" t="s">
        <v>293</v>
      </c>
      <c r="D446" s="44"/>
      <c r="E446" s="36"/>
      <c r="F446" s="36">
        <v>10</v>
      </c>
      <c r="G446" s="36">
        <v>6.9</v>
      </c>
      <c r="H446" s="36"/>
      <c r="I446" s="36">
        <f t="shared" si="8"/>
        <v>69</v>
      </c>
      <c r="J446" s="10"/>
      <c r="L446" s="10"/>
    </row>
    <row r="447" spans="1:31" s="30" customFormat="1" x14ac:dyDescent="0.2">
      <c r="A447" s="32"/>
      <c r="B447" s="265"/>
      <c r="C447" s="273" t="s">
        <v>294</v>
      </c>
      <c r="D447" s="44"/>
      <c r="E447" s="36"/>
      <c r="F447" s="36">
        <v>10</v>
      </c>
      <c r="G447" s="36">
        <v>6.9</v>
      </c>
      <c r="H447" s="36"/>
      <c r="I447" s="36">
        <f t="shared" si="8"/>
        <v>69</v>
      </c>
      <c r="J447" s="10"/>
      <c r="L447" s="10"/>
    </row>
    <row r="448" spans="1:31" s="30" customFormat="1" x14ac:dyDescent="0.2">
      <c r="A448" s="32"/>
      <c r="B448" s="265"/>
      <c r="C448" s="273" t="s">
        <v>295</v>
      </c>
      <c r="D448" s="44"/>
      <c r="E448" s="36"/>
      <c r="F448" s="36">
        <v>10</v>
      </c>
      <c r="G448" s="36">
        <v>6.9</v>
      </c>
      <c r="H448" s="36"/>
      <c r="I448" s="36">
        <f t="shared" si="8"/>
        <v>69</v>
      </c>
      <c r="J448" s="10"/>
      <c r="L448" s="10"/>
    </row>
    <row r="449" spans="1:31" s="30" customFormat="1" x14ac:dyDescent="0.2">
      <c r="A449" s="32"/>
      <c r="B449" s="265"/>
      <c r="C449" s="273" t="s">
        <v>289</v>
      </c>
      <c r="D449" s="44"/>
      <c r="E449" s="36"/>
      <c r="F449" s="36">
        <v>5.05</v>
      </c>
      <c r="G449" s="36">
        <v>1.95</v>
      </c>
      <c r="H449" s="36"/>
      <c r="I449" s="36">
        <f t="shared" si="8"/>
        <v>9.85</v>
      </c>
      <c r="J449" s="10"/>
      <c r="L449" s="10"/>
    </row>
    <row r="450" spans="1:31" s="30" customFormat="1" x14ac:dyDescent="0.2">
      <c r="A450" s="32"/>
      <c r="B450" s="265"/>
      <c r="C450" s="273" t="s">
        <v>296</v>
      </c>
      <c r="D450" s="44"/>
      <c r="E450" s="36"/>
      <c r="F450" s="36">
        <v>10.55</v>
      </c>
      <c r="G450" s="36">
        <v>5.15</v>
      </c>
      <c r="H450" s="36"/>
      <c r="I450" s="36">
        <f t="shared" si="8"/>
        <v>54.33</v>
      </c>
      <c r="J450" s="10"/>
      <c r="L450" s="10"/>
    </row>
    <row r="451" spans="1:31" s="30" customFormat="1" x14ac:dyDescent="0.2">
      <c r="A451" s="32"/>
      <c r="B451" s="265"/>
      <c r="C451" s="273" t="s">
        <v>297</v>
      </c>
      <c r="D451" s="44"/>
      <c r="E451" s="36"/>
      <c r="F451" s="36">
        <v>10.55</v>
      </c>
      <c r="G451" s="36">
        <v>5.15</v>
      </c>
      <c r="H451" s="36"/>
      <c r="I451" s="36">
        <f t="shared" si="8"/>
        <v>54.33</v>
      </c>
      <c r="J451" s="10"/>
      <c r="L451" s="10"/>
    </row>
    <row r="452" spans="1:31" s="10" customFormat="1" x14ac:dyDescent="0.2">
      <c r="A452" s="32"/>
      <c r="B452" s="265"/>
      <c r="C452" s="273" t="s">
        <v>791</v>
      </c>
      <c r="D452" s="44"/>
      <c r="E452" s="36"/>
      <c r="F452" s="36">
        <v>42.35</v>
      </c>
      <c r="G452" s="36">
        <v>1.94</v>
      </c>
      <c r="H452" s="36"/>
      <c r="I452" s="36">
        <f>ROUND((PRODUCT(E452:H452)),2)</f>
        <v>82.16</v>
      </c>
    </row>
    <row r="453" spans="1:31" s="10" customFormat="1" x14ac:dyDescent="0.2">
      <c r="A453" s="32"/>
      <c r="B453" s="265"/>
      <c r="C453" s="273" t="s">
        <v>410</v>
      </c>
      <c r="D453" s="44"/>
      <c r="E453" s="36"/>
      <c r="F453" s="36">
        <v>10</v>
      </c>
      <c r="G453" s="36">
        <v>3.85</v>
      </c>
      <c r="H453" s="36"/>
      <c r="I453" s="36">
        <f>ROUND((PRODUCT(E453:H453)),2)</f>
        <v>38.5</v>
      </c>
    </row>
    <row r="454" spans="1:31" s="10" customFormat="1" x14ac:dyDescent="0.2">
      <c r="A454" s="32"/>
      <c r="B454" s="265"/>
      <c r="C454" s="273" t="s">
        <v>789</v>
      </c>
      <c r="D454" s="44"/>
      <c r="E454" s="36"/>
      <c r="F454" s="36">
        <v>11.85</v>
      </c>
      <c r="G454" s="36">
        <v>0.95</v>
      </c>
      <c r="H454" s="36"/>
      <c r="I454" s="36">
        <f>ROUND(PRODUCT(E454:H454),2)</f>
        <v>11.26</v>
      </c>
      <c r="K454" s="299"/>
      <c r="L454" s="300">
        <v>0.8</v>
      </c>
      <c r="M454" s="300">
        <v>0.8</v>
      </c>
      <c r="N454" s="300">
        <v>0.2</v>
      </c>
      <c r="O454" s="300">
        <v>0.3</v>
      </c>
      <c r="P454" s="300">
        <v>0.15</v>
      </c>
      <c r="Q454" s="300">
        <v>0.25</v>
      </c>
      <c r="R454" s="300">
        <v>1.5</v>
      </c>
    </row>
    <row r="455" spans="1:31" s="10" customFormat="1" x14ac:dyDescent="0.2">
      <c r="A455" s="32"/>
      <c r="B455" s="265"/>
      <c r="C455" s="273" t="s">
        <v>480</v>
      </c>
      <c r="D455" s="44"/>
      <c r="E455" s="36"/>
      <c r="F455" s="36">
        <v>12.35</v>
      </c>
      <c r="G455" s="36">
        <v>3.85</v>
      </c>
      <c r="H455" s="36"/>
      <c r="I455" s="36">
        <f>ROUND((PRODUCT(E455:H455)),2)</f>
        <v>47.55</v>
      </c>
    </row>
    <row r="456" spans="1:31" s="10" customFormat="1" x14ac:dyDescent="0.2">
      <c r="A456" s="32"/>
      <c r="B456" s="265"/>
      <c r="C456" s="273" t="s">
        <v>565</v>
      </c>
      <c r="D456" s="44"/>
      <c r="E456" s="36"/>
      <c r="F456" s="36">
        <f>174.57+243.22</f>
        <v>417.78999999999996</v>
      </c>
      <c r="G456" s="36"/>
      <c r="H456" s="36"/>
      <c r="I456" s="36">
        <f>ROUND((PRODUCT(E456:H456)),2)</f>
        <v>417.79</v>
      </c>
    </row>
    <row r="457" spans="1:31" s="10" customFormat="1" x14ac:dyDescent="0.2">
      <c r="A457" s="32"/>
      <c r="B457" s="265"/>
      <c r="C457" s="273"/>
      <c r="D457" s="44"/>
      <c r="E457" s="36"/>
      <c r="F457" s="36" t="s">
        <v>201</v>
      </c>
      <c r="G457" s="36"/>
      <c r="H457" s="36"/>
      <c r="I457" s="36"/>
    </row>
    <row r="458" spans="1:31" s="10" customFormat="1" x14ac:dyDescent="0.2">
      <c r="A458" s="32"/>
      <c r="B458" s="265"/>
      <c r="C458" s="273" t="s">
        <v>852</v>
      </c>
      <c r="D458" s="44"/>
      <c r="E458" s="36">
        <v>-1</v>
      </c>
      <c r="F458" s="36">
        <v>328.53</v>
      </c>
      <c r="G458" s="36"/>
      <c r="H458" s="36"/>
      <c r="I458" s="36">
        <f>ROUND(PRODUCT(E458:H458),2)</f>
        <v>-328.53</v>
      </c>
    </row>
    <row r="459" spans="1:31" s="10" customFormat="1" x14ac:dyDescent="0.2">
      <c r="A459" s="32"/>
      <c r="B459" s="265"/>
      <c r="C459" s="45" t="str">
        <f>"Total item "&amp;A442</f>
        <v>Total item 7.2</v>
      </c>
      <c r="D459" s="44"/>
      <c r="E459" s="36"/>
      <c r="F459" s="36"/>
      <c r="G459" s="36"/>
      <c r="H459" s="36"/>
      <c r="I459" s="19">
        <f>SUM(I443:I458)</f>
        <v>801.24</v>
      </c>
    </row>
    <row r="460" spans="1:31" s="10" customFormat="1" x14ac:dyDescent="0.2">
      <c r="A460" s="32"/>
      <c r="B460" s="265"/>
      <c r="C460" s="266"/>
      <c r="D460" s="33"/>
      <c r="E460" s="267"/>
      <c r="F460" s="267"/>
      <c r="G460" s="267"/>
      <c r="H460" s="267"/>
      <c r="I460" s="267"/>
    </row>
    <row r="461" spans="1:31" s="31" customFormat="1" ht="67.5" x14ac:dyDescent="0.2">
      <c r="A461" s="268" t="s">
        <v>275</v>
      </c>
      <c r="B461" s="269" t="s">
        <v>59</v>
      </c>
      <c r="C461" s="270" t="s">
        <v>512</v>
      </c>
      <c r="D461" s="271" t="s">
        <v>112</v>
      </c>
      <c r="E461" s="19"/>
      <c r="F461" s="272"/>
      <c r="G461" s="19"/>
      <c r="H461" s="19"/>
      <c r="I461" s="19"/>
      <c r="AE461" s="31" t="s">
        <v>135</v>
      </c>
    </row>
    <row r="462" spans="1:31" s="30" customFormat="1" x14ac:dyDescent="0.2">
      <c r="A462" s="32"/>
      <c r="B462" s="265"/>
      <c r="C462" s="273" t="s">
        <v>247</v>
      </c>
      <c r="D462" s="273"/>
      <c r="E462" s="273"/>
      <c r="F462" s="36">
        <v>10</v>
      </c>
      <c r="G462" s="36">
        <v>6.9</v>
      </c>
      <c r="H462" s="36"/>
      <c r="I462" s="36">
        <f t="shared" ref="I462:I470" si="9">ROUND(PRODUCT(E462:H462),2)</f>
        <v>69</v>
      </c>
      <c r="J462" s="10"/>
      <c r="L462" s="10"/>
    </row>
    <row r="463" spans="1:31" s="30" customFormat="1" x14ac:dyDescent="0.2">
      <c r="A463" s="32"/>
      <c r="B463" s="265"/>
      <c r="C463" s="273" t="s">
        <v>291</v>
      </c>
      <c r="D463" s="44"/>
      <c r="E463" s="36"/>
      <c r="F463" s="36">
        <v>10</v>
      </c>
      <c r="G463" s="36">
        <v>6.9</v>
      </c>
      <c r="H463" s="36"/>
      <c r="I463" s="36">
        <f t="shared" si="9"/>
        <v>69</v>
      </c>
      <c r="J463" s="10"/>
      <c r="L463" s="10"/>
    </row>
    <row r="464" spans="1:31" s="30" customFormat="1" x14ac:dyDescent="0.2">
      <c r="A464" s="32"/>
      <c r="B464" s="265"/>
      <c r="C464" s="273" t="s">
        <v>292</v>
      </c>
      <c r="D464" s="44"/>
      <c r="E464" s="36"/>
      <c r="F464" s="36">
        <v>10</v>
      </c>
      <c r="G464" s="36">
        <v>6.9</v>
      </c>
      <c r="H464" s="36"/>
      <c r="I464" s="36">
        <f t="shared" si="9"/>
        <v>69</v>
      </c>
      <c r="J464" s="10"/>
      <c r="L464" s="10"/>
    </row>
    <row r="465" spans="1:31" s="30" customFormat="1" x14ac:dyDescent="0.2">
      <c r="A465" s="32"/>
      <c r="B465" s="265"/>
      <c r="C465" s="273" t="s">
        <v>293</v>
      </c>
      <c r="D465" s="44"/>
      <c r="E465" s="36"/>
      <c r="F465" s="36">
        <v>10</v>
      </c>
      <c r="G465" s="36">
        <v>6.9</v>
      </c>
      <c r="H465" s="36"/>
      <c r="I465" s="36">
        <f t="shared" si="9"/>
        <v>69</v>
      </c>
      <c r="J465" s="10"/>
      <c r="L465" s="10"/>
    </row>
    <row r="466" spans="1:31" s="30" customFormat="1" x14ac:dyDescent="0.2">
      <c r="A466" s="32"/>
      <c r="B466" s="265"/>
      <c r="C466" s="273" t="s">
        <v>294</v>
      </c>
      <c r="D466" s="44"/>
      <c r="E466" s="36"/>
      <c r="F466" s="36">
        <v>10</v>
      </c>
      <c r="G466" s="36">
        <v>6.9</v>
      </c>
      <c r="H466" s="36"/>
      <c r="I466" s="36">
        <f t="shared" si="9"/>
        <v>69</v>
      </c>
      <c r="J466" s="10"/>
      <c r="L466" s="10"/>
    </row>
    <row r="467" spans="1:31" s="30" customFormat="1" x14ac:dyDescent="0.2">
      <c r="A467" s="32"/>
      <c r="B467" s="265"/>
      <c r="C467" s="273" t="s">
        <v>295</v>
      </c>
      <c r="D467" s="44"/>
      <c r="E467" s="36"/>
      <c r="F467" s="36">
        <v>10</v>
      </c>
      <c r="G467" s="36">
        <v>6.9</v>
      </c>
      <c r="H467" s="36"/>
      <c r="I467" s="36">
        <f t="shared" si="9"/>
        <v>69</v>
      </c>
      <c r="J467" s="10"/>
      <c r="L467" s="10"/>
    </row>
    <row r="468" spans="1:31" s="30" customFormat="1" x14ac:dyDescent="0.2">
      <c r="A468" s="32"/>
      <c r="B468" s="265"/>
      <c r="C468" s="273" t="s">
        <v>289</v>
      </c>
      <c r="D468" s="44"/>
      <c r="E468" s="36"/>
      <c r="F468" s="36">
        <v>5.05</v>
      </c>
      <c r="G468" s="36">
        <v>1.95</v>
      </c>
      <c r="H468" s="36"/>
      <c r="I468" s="36">
        <f t="shared" si="9"/>
        <v>9.85</v>
      </c>
      <c r="J468" s="10"/>
      <c r="L468" s="10"/>
    </row>
    <row r="469" spans="1:31" s="30" customFormat="1" x14ac:dyDescent="0.2">
      <c r="A469" s="32"/>
      <c r="B469" s="265"/>
      <c r="C469" s="273" t="s">
        <v>296</v>
      </c>
      <c r="D469" s="44"/>
      <c r="E469" s="36"/>
      <c r="F469" s="36">
        <v>10.55</v>
      </c>
      <c r="G469" s="36">
        <v>5.15</v>
      </c>
      <c r="H469" s="36"/>
      <c r="I469" s="36">
        <f t="shared" si="9"/>
        <v>54.33</v>
      </c>
      <c r="J469" s="10"/>
      <c r="L469" s="10"/>
    </row>
    <row r="470" spans="1:31" s="30" customFormat="1" x14ac:dyDescent="0.2">
      <c r="A470" s="32"/>
      <c r="B470" s="265"/>
      <c r="C470" s="273" t="s">
        <v>297</v>
      </c>
      <c r="D470" s="44"/>
      <c r="E470" s="36"/>
      <c r="F470" s="36">
        <v>10.55</v>
      </c>
      <c r="G470" s="36">
        <v>5.15</v>
      </c>
      <c r="H470" s="36"/>
      <c r="I470" s="36">
        <f t="shared" si="9"/>
        <v>54.33</v>
      </c>
      <c r="J470" s="10"/>
      <c r="L470" s="10"/>
    </row>
    <row r="471" spans="1:31" s="10" customFormat="1" x14ac:dyDescent="0.2">
      <c r="A471" s="32"/>
      <c r="B471" s="265"/>
      <c r="C471" s="273" t="s">
        <v>791</v>
      </c>
      <c r="D471" s="44"/>
      <c r="E471" s="36"/>
      <c r="F471" s="36">
        <v>42.35</v>
      </c>
      <c r="G471" s="36">
        <v>1.94</v>
      </c>
      <c r="H471" s="36"/>
      <c r="I471" s="36">
        <f>ROUND((PRODUCT(E471:H471)),2)</f>
        <v>82.16</v>
      </c>
    </row>
    <row r="472" spans="1:31" s="10" customFormat="1" x14ac:dyDescent="0.2">
      <c r="A472" s="32"/>
      <c r="B472" s="265"/>
      <c r="C472" s="273" t="s">
        <v>410</v>
      </c>
      <c r="D472" s="44"/>
      <c r="E472" s="36"/>
      <c r="F472" s="36">
        <v>10</v>
      </c>
      <c r="G472" s="36">
        <v>3.85</v>
      </c>
      <c r="H472" s="36"/>
      <c r="I472" s="36">
        <f>ROUND((PRODUCT(E472:H472)),2)</f>
        <v>38.5</v>
      </c>
    </row>
    <row r="473" spans="1:31" s="10" customFormat="1" x14ac:dyDescent="0.2">
      <c r="A473" s="32"/>
      <c r="B473" s="265"/>
      <c r="C473" s="273" t="s">
        <v>789</v>
      </c>
      <c r="D473" s="44"/>
      <c r="E473" s="36"/>
      <c r="F473" s="36">
        <v>11.85</v>
      </c>
      <c r="G473" s="36">
        <v>0.95</v>
      </c>
      <c r="H473" s="36"/>
      <c r="I473" s="36">
        <f>ROUND(PRODUCT(E473:H473),2)</f>
        <v>11.26</v>
      </c>
      <c r="K473" s="299"/>
      <c r="L473" s="300">
        <v>0.8</v>
      </c>
      <c r="M473" s="300">
        <v>0.8</v>
      </c>
      <c r="N473" s="300">
        <v>0.2</v>
      </c>
      <c r="O473" s="300">
        <v>0.3</v>
      </c>
      <c r="P473" s="300">
        <v>0.15</v>
      </c>
      <c r="Q473" s="300">
        <v>0.25</v>
      </c>
      <c r="R473" s="300">
        <v>1.5</v>
      </c>
    </row>
    <row r="474" spans="1:31" s="10" customFormat="1" x14ac:dyDescent="0.2">
      <c r="A474" s="32"/>
      <c r="B474" s="265"/>
      <c r="C474" s="273" t="s">
        <v>480</v>
      </c>
      <c r="D474" s="44"/>
      <c r="E474" s="36"/>
      <c r="F474" s="36">
        <v>12.35</v>
      </c>
      <c r="G474" s="36">
        <v>3.85</v>
      </c>
      <c r="H474" s="36"/>
      <c r="I474" s="36">
        <f>ROUND((PRODUCT(E474:H474)),2)</f>
        <v>47.55</v>
      </c>
    </row>
    <row r="475" spans="1:31" s="10" customFormat="1" x14ac:dyDescent="0.2">
      <c r="A475" s="32"/>
      <c r="B475" s="265"/>
      <c r="C475" s="273" t="s">
        <v>565</v>
      </c>
      <c r="D475" s="44"/>
      <c r="E475" s="36"/>
      <c r="F475" s="36">
        <f>174.57+243.22</f>
        <v>417.78999999999996</v>
      </c>
      <c r="G475" s="36"/>
      <c r="H475" s="36"/>
      <c r="I475" s="36">
        <f>ROUND((PRODUCT(E475:H475)),2)</f>
        <v>417.79</v>
      </c>
    </row>
    <row r="476" spans="1:31" s="10" customFormat="1" x14ac:dyDescent="0.2">
      <c r="A476" s="32"/>
      <c r="B476" s="265"/>
      <c r="C476" s="273"/>
      <c r="D476" s="44"/>
      <c r="E476" s="36"/>
      <c r="F476" s="36" t="s">
        <v>201</v>
      </c>
      <c r="G476" s="36"/>
      <c r="H476" s="36"/>
      <c r="I476" s="36"/>
    </row>
    <row r="477" spans="1:31" s="10" customFormat="1" x14ac:dyDescent="0.2">
      <c r="A477" s="32"/>
      <c r="B477" s="265"/>
      <c r="C477" s="273" t="s">
        <v>851</v>
      </c>
      <c r="D477" s="44"/>
      <c r="E477" s="36">
        <v>-1</v>
      </c>
      <c r="F477" s="36">
        <v>328.53</v>
      </c>
      <c r="G477" s="36"/>
      <c r="H477" s="36"/>
      <c r="I477" s="36">
        <f>ROUND(PRODUCT(E477:H477),2)</f>
        <v>-328.53</v>
      </c>
    </row>
    <row r="478" spans="1:31" s="10" customFormat="1" x14ac:dyDescent="0.2">
      <c r="A478" s="32"/>
      <c r="B478" s="265"/>
      <c r="C478" s="45" t="str">
        <f>"Total item "&amp;A461</f>
        <v>Total item 7.3</v>
      </c>
      <c r="D478" s="44"/>
      <c r="E478" s="36"/>
      <c r="F478" s="36"/>
      <c r="G478" s="36"/>
      <c r="H478" s="36"/>
      <c r="I478" s="19">
        <f>SUM(I462:I477)</f>
        <v>801.24</v>
      </c>
    </row>
    <row r="479" spans="1:31" s="10" customFormat="1" x14ac:dyDescent="0.2">
      <c r="A479" s="32"/>
      <c r="B479" s="265"/>
      <c r="C479" s="273"/>
      <c r="D479" s="44"/>
      <c r="E479" s="36"/>
      <c r="F479" s="36"/>
      <c r="G479" s="36"/>
      <c r="H479" s="36"/>
      <c r="I479" s="36"/>
    </row>
    <row r="480" spans="1:31" s="263" customFormat="1" ht="10.5" customHeight="1" x14ac:dyDescent="0.2">
      <c r="A480" s="252" t="s">
        <v>238</v>
      </c>
      <c r="B480" s="253"/>
      <c r="C480" s="254" t="s">
        <v>41</v>
      </c>
      <c r="D480" s="255"/>
      <c r="E480" s="256"/>
      <c r="F480" s="256"/>
      <c r="G480" s="256"/>
      <c r="H480" s="256"/>
      <c r="I480" s="256"/>
      <c r="J480" s="261" t="s">
        <v>110</v>
      </c>
      <c r="K480" s="262" t="s">
        <v>160</v>
      </c>
      <c r="AE480" s="264"/>
    </row>
    <row r="481" spans="1:31" s="10" customFormat="1" x14ac:dyDescent="0.2">
      <c r="A481" s="32"/>
      <c r="B481" s="265"/>
      <c r="C481" s="266"/>
      <c r="D481" s="33"/>
      <c r="E481" s="267"/>
      <c r="F481" s="267"/>
      <c r="G481" s="267"/>
      <c r="H481" s="267"/>
      <c r="I481" s="267"/>
    </row>
    <row r="482" spans="1:31" s="31" customFormat="1" ht="45" x14ac:dyDescent="0.2">
      <c r="A482" s="268" t="s">
        <v>31</v>
      </c>
      <c r="B482" s="296" t="s">
        <v>59</v>
      </c>
      <c r="C482" s="270" t="s">
        <v>328</v>
      </c>
      <c r="D482" s="271" t="s">
        <v>112</v>
      </c>
      <c r="E482" s="19"/>
      <c r="F482" s="272"/>
      <c r="G482" s="19"/>
      <c r="H482" s="19"/>
      <c r="I482" s="19"/>
      <c r="AE482" s="31" t="s">
        <v>136</v>
      </c>
    </row>
    <row r="483" spans="1:31" s="30" customFormat="1" x14ac:dyDescent="0.2">
      <c r="A483" s="32"/>
      <c r="B483" s="265"/>
      <c r="C483" s="273" t="s">
        <v>304</v>
      </c>
      <c r="D483" s="44"/>
      <c r="E483" s="36"/>
      <c r="F483" s="36">
        <v>701.9</v>
      </c>
      <c r="G483" s="36"/>
      <c r="H483" s="36"/>
      <c r="I483" s="278">
        <f>ROUND(PRODUCT(E483:H483),2)</f>
        <v>701.9</v>
      </c>
      <c r="J483" s="10"/>
      <c r="L483" s="10"/>
    </row>
    <row r="484" spans="1:31" s="30" customFormat="1" x14ac:dyDescent="0.2">
      <c r="A484" s="32"/>
      <c r="B484" s="265"/>
      <c r="C484" s="273"/>
      <c r="D484" s="44"/>
      <c r="E484" s="36"/>
      <c r="F484" s="36" t="s">
        <v>201</v>
      </c>
      <c r="G484" s="36"/>
      <c r="H484" s="36"/>
      <c r="I484" s="36"/>
      <c r="J484" s="10"/>
      <c r="L484" s="10"/>
    </row>
    <row r="485" spans="1:31" s="30" customFormat="1" x14ac:dyDescent="0.2">
      <c r="A485" s="32"/>
      <c r="B485" s="265"/>
      <c r="C485" s="273" t="s">
        <v>853</v>
      </c>
      <c r="D485" s="44"/>
      <c r="E485" s="36">
        <v>-1</v>
      </c>
      <c r="F485" s="36">
        <v>168.66</v>
      </c>
      <c r="G485" s="36"/>
      <c r="H485" s="36"/>
      <c r="I485" s="36">
        <f>ROUND(PRODUCT(E485:H485),2)</f>
        <v>-168.66</v>
      </c>
      <c r="J485" s="10"/>
      <c r="L485" s="10"/>
    </row>
    <row r="486" spans="1:31" s="10" customFormat="1" x14ac:dyDescent="0.2">
      <c r="A486" s="32"/>
      <c r="B486" s="265"/>
      <c r="C486" s="45" t="str">
        <f>"Total item "&amp;A482</f>
        <v>Total item 8.1</v>
      </c>
      <c r="D486" s="44"/>
      <c r="E486" s="36"/>
      <c r="F486" s="36"/>
      <c r="G486" s="36"/>
      <c r="H486" s="36"/>
      <c r="I486" s="19">
        <f>SUM(I483:I485)</f>
        <v>533.24</v>
      </c>
    </row>
    <row r="487" spans="1:31" s="10" customFormat="1" x14ac:dyDescent="0.2">
      <c r="A487" s="32"/>
      <c r="B487" s="265"/>
      <c r="C487" s="266"/>
      <c r="D487" s="33"/>
      <c r="E487" s="267"/>
      <c r="F487" s="267"/>
      <c r="G487" s="267"/>
      <c r="H487" s="267"/>
      <c r="I487" s="267"/>
    </row>
    <row r="488" spans="1:31" s="31" customFormat="1" ht="56.25" x14ac:dyDescent="0.2">
      <c r="A488" s="268" t="s">
        <v>97</v>
      </c>
      <c r="B488" s="296" t="s">
        <v>59</v>
      </c>
      <c r="C488" s="270" t="s">
        <v>567</v>
      </c>
      <c r="D488" s="271" t="s">
        <v>368</v>
      </c>
      <c r="E488" s="19"/>
      <c r="F488" s="272"/>
      <c r="G488" s="19"/>
      <c r="H488" s="19"/>
      <c r="I488" s="19"/>
      <c r="AE488" s="31" t="s">
        <v>137</v>
      </c>
    </row>
    <row r="489" spans="1:31" s="30" customFormat="1" x14ac:dyDescent="0.2">
      <c r="A489" s="32"/>
      <c r="B489" s="265"/>
      <c r="C489" s="273" t="s">
        <v>792</v>
      </c>
      <c r="D489" s="44"/>
      <c r="E489" s="36"/>
      <c r="F489" s="36">
        <v>2334.71</v>
      </c>
      <c r="G489" s="36"/>
      <c r="H489" s="36"/>
      <c r="I489" s="278">
        <f>ROUND(PRODUCT(E489:H489),2)</f>
        <v>2334.71</v>
      </c>
      <c r="J489" s="10"/>
      <c r="L489" s="10"/>
    </row>
    <row r="490" spans="1:31" s="30" customFormat="1" x14ac:dyDescent="0.2">
      <c r="A490" s="32"/>
      <c r="B490" s="265"/>
      <c r="C490" s="273"/>
      <c r="D490" s="44"/>
      <c r="E490" s="36"/>
      <c r="F490" s="36" t="s">
        <v>201</v>
      </c>
      <c r="G490" s="36"/>
      <c r="H490" s="36"/>
      <c r="I490" s="36"/>
      <c r="J490" s="10"/>
      <c r="L490" s="10"/>
    </row>
    <row r="491" spans="1:31" s="30" customFormat="1" x14ac:dyDescent="0.2">
      <c r="A491" s="32"/>
      <c r="B491" s="265"/>
      <c r="C491" s="273" t="s">
        <v>854</v>
      </c>
      <c r="D491" s="44"/>
      <c r="E491" s="36">
        <v>-1</v>
      </c>
      <c r="F491" s="36">
        <v>1021.57</v>
      </c>
      <c r="G491" s="36"/>
      <c r="H491" s="36"/>
      <c r="I491" s="36">
        <f>ROUND(PRODUCT(E491:H491),2)</f>
        <v>-1021.57</v>
      </c>
      <c r="J491" s="10"/>
      <c r="L491" s="10"/>
    </row>
    <row r="492" spans="1:31" s="10" customFormat="1" x14ac:dyDescent="0.2">
      <c r="A492" s="32"/>
      <c r="B492" s="265"/>
      <c r="C492" s="45" t="str">
        <f>"Total item "&amp;A488</f>
        <v>Total item 8.2</v>
      </c>
      <c r="D492" s="44"/>
      <c r="E492" s="36"/>
      <c r="F492" s="36"/>
      <c r="G492" s="36"/>
      <c r="H492" s="36"/>
      <c r="I492" s="19">
        <f>SUM(I489:I491)</f>
        <v>1313.1399999999999</v>
      </c>
    </row>
    <row r="493" spans="1:31" s="10" customFormat="1" x14ac:dyDescent="0.2">
      <c r="A493" s="32"/>
      <c r="B493" s="265"/>
      <c r="C493" s="266"/>
      <c r="D493" s="33"/>
      <c r="E493" s="267"/>
      <c r="F493" s="267"/>
      <c r="G493" s="267"/>
      <c r="H493" s="267"/>
      <c r="I493" s="267"/>
    </row>
    <row r="494" spans="1:31" s="31" customFormat="1" ht="33.75" x14ac:dyDescent="0.2">
      <c r="A494" s="268" t="s">
        <v>280</v>
      </c>
      <c r="B494" s="296" t="s">
        <v>59</v>
      </c>
      <c r="C494" s="270" t="s">
        <v>330</v>
      </c>
      <c r="D494" s="271" t="s">
        <v>112</v>
      </c>
      <c r="E494" s="19"/>
      <c r="F494" s="272"/>
      <c r="G494" s="19"/>
      <c r="H494" s="19"/>
      <c r="I494" s="19"/>
      <c r="AE494" s="31" t="s">
        <v>137</v>
      </c>
    </row>
    <row r="495" spans="1:31" s="30" customFormat="1" x14ac:dyDescent="0.2">
      <c r="A495" s="32"/>
      <c r="B495" s="265"/>
      <c r="C495" s="273" t="s">
        <v>304</v>
      </c>
      <c r="D495" s="44"/>
      <c r="E495" s="36"/>
      <c r="F495" s="36">
        <f>I486</f>
        <v>533.24</v>
      </c>
      <c r="G495" s="36"/>
      <c r="H495" s="36"/>
      <c r="I495" s="278">
        <f>ROUND(PRODUCT(E495:H495),2)</f>
        <v>533.24</v>
      </c>
      <c r="J495" s="10"/>
      <c r="L495" s="10"/>
    </row>
    <row r="496" spans="1:31" s="30" customFormat="1" x14ac:dyDescent="0.2">
      <c r="A496" s="32"/>
      <c r="B496" s="265"/>
      <c r="C496" s="273"/>
      <c r="D496" s="44"/>
      <c r="E496" s="36"/>
      <c r="F496" s="36" t="s">
        <v>201</v>
      </c>
      <c r="G496" s="36"/>
      <c r="H496" s="36"/>
      <c r="I496" s="36"/>
      <c r="J496" s="10"/>
      <c r="L496" s="10"/>
    </row>
    <row r="497" spans="1:31" s="30" customFormat="1" x14ac:dyDescent="0.2">
      <c r="A497" s="32"/>
      <c r="B497" s="265"/>
      <c r="C497" s="273" t="s">
        <v>855</v>
      </c>
      <c r="D497" s="44"/>
      <c r="E497" s="36">
        <v>-1</v>
      </c>
      <c r="F497" s="36">
        <v>168.66</v>
      </c>
      <c r="G497" s="36"/>
      <c r="H497" s="36"/>
      <c r="I497" s="36">
        <f>ROUND(PRODUCT(E497:H497),2)</f>
        <v>-168.66</v>
      </c>
      <c r="J497" s="10"/>
      <c r="L497" s="10"/>
    </row>
    <row r="498" spans="1:31" s="10" customFormat="1" x14ac:dyDescent="0.2">
      <c r="A498" s="32"/>
      <c r="B498" s="265"/>
      <c r="C498" s="45" t="str">
        <f>"Total item "&amp;A494</f>
        <v>Total item 8.3</v>
      </c>
      <c r="D498" s="44"/>
      <c r="E498" s="36"/>
      <c r="F498" s="36"/>
      <c r="G498" s="36"/>
      <c r="H498" s="36"/>
      <c r="I498" s="19">
        <f>SUM(I495:I497)</f>
        <v>364.58000000000004</v>
      </c>
    </row>
    <row r="499" spans="1:31" s="10" customFormat="1" x14ac:dyDescent="0.2">
      <c r="A499" s="32"/>
      <c r="B499" s="265"/>
      <c r="C499" s="266"/>
      <c r="D499" s="33"/>
      <c r="E499" s="267"/>
      <c r="F499" s="267"/>
      <c r="G499" s="267"/>
      <c r="H499" s="267"/>
      <c r="I499" s="267"/>
    </row>
    <row r="500" spans="1:31" s="31" customFormat="1" ht="22.5" x14ac:dyDescent="0.2">
      <c r="A500" s="268" t="s">
        <v>355</v>
      </c>
      <c r="B500" s="296" t="s">
        <v>59</v>
      </c>
      <c r="C500" s="270" t="s">
        <v>229</v>
      </c>
      <c r="D500" s="271" t="s">
        <v>112</v>
      </c>
      <c r="E500" s="19"/>
      <c r="F500" s="272"/>
      <c r="G500" s="19"/>
      <c r="H500" s="19"/>
      <c r="I500" s="19"/>
      <c r="AE500" s="31" t="s">
        <v>138</v>
      </c>
    </row>
    <row r="501" spans="1:31" s="30" customFormat="1" x14ac:dyDescent="0.2">
      <c r="A501" s="32"/>
      <c r="B501" s="265"/>
      <c r="C501" s="273" t="s">
        <v>247</v>
      </c>
      <c r="D501" s="273"/>
      <c r="E501" s="273"/>
      <c r="F501" s="36">
        <v>10</v>
      </c>
      <c r="G501" s="36">
        <v>6.9</v>
      </c>
      <c r="H501" s="36"/>
      <c r="I501" s="36">
        <f t="shared" ref="I501:I507" si="10">ROUND(PRODUCT(E501:H501),2)</f>
        <v>69</v>
      </c>
      <c r="J501" s="10"/>
      <c r="L501" s="10"/>
    </row>
    <row r="502" spans="1:31" s="30" customFormat="1" x14ac:dyDescent="0.2">
      <c r="A502" s="32"/>
      <c r="B502" s="265"/>
      <c r="C502" s="273" t="s">
        <v>291</v>
      </c>
      <c r="D502" s="44"/>
      <c r="E502" s="36"/>
      <c r="F502" s="36">
        <v>10</v>
      </c>
      <c r="G502" s="36">
        <v>6.9</v>
      </c>
      <c r="H502" s="36"/>
      <c r="I502" s="36">
        <f t="shared" si="10"/>
        <v>69</v>
      </c>
      <c r="J502" s="10"/>
      <c r="L502" s="10"/>
    </row>
    <row r="503" spans="1:31" s="30" customFormat="1" x14ac:dyDescent="0.2">
      <c r="A503" s="32"/>
      <c r="B503" s="265"/>
      <c r="C503" s="273" t="s">
        <v>292</v>
      </c>
      <c r="D503" s="44"/>
      <c r="E503" s="36"/>
      <c r="F503" s="36">
        <v>10</v>
      </c>
      <c r="G503" s="36">
        <v>6.9</v>
      </c>
      <c r="H503" s="36"/>
      <c r="I503" s="36">
        <f t="shared" si="10"/>
        <v>69</v>
      </c>
      <c r="J503" s="10"/>
      <c r="L503" s="10"/>
    </row>
    <row r="504" spans="1:31" s="30" customFormat="1" x14ac:dyDescent="0.2">
      <c r="A504" s="32"/>
      <c r="B504" s="265"/>
      <c r="C504" s="273" t="s">
        <v>293</v>
      </c>
      <c r="D504" s="44"/>
      <c r="E504" s="36"/>
      <c r="F504" s="36">
        <v>10</v>
      </c>
      <c r="G504" s="36">
        <v>6.9</v>
      </c>
      <c r="H504" s="36"/>
      <c r="I504" s="36">
        <f t="shared" si="10"/>
        <v>69</v>
      </c>
      <c r="J504" s="10"/>
      <c r="L504" s="10"/>
    </row>
    <row r="505" spans="1:31" s="30" customFormat="1" x14ac:dyDescent="0.2">
      <c r="A505" s="32"/>
      <c r="B505" s="265"/>
      <c r="C505" s="273" t="s">
        <v>294</v>
      </c>
      <c r="D505" s="44"/>
      <c r="E505" s="36"/>
      <c r="F505" s="36">
        <v>10</v>
      </c>
      <c r="G505" s="36">
        <v>6.9</v>
      </c>
      <c r="H505" s="36"/>
      <c r="I505" s="36">
        <f t="shared" si="10"/>
        <v>69</v>
      </c>
      <c r="J505" s="10"/>
      <c r="L505" s="10"/>
    </row>
    <row r="506" spans="1:31" s="30" customFormat="1" x14ac:dyDescent="0.2">
      <c r="A506" s="32"/>
      <c r="B506" s="265"/>
      <c r="C506" s="273" t="s">
        <v>295</v>
      </c>
      <c r="D506" s="44"/>
      <c r="E506" s="36"/>
      <c r="F506" s="36">
        <v>10</v>
      </c>
      <c r="G506" s="36">
        <v>6.9</v>
      </c>
      <c r="H506" s="36"/>
      <c r="I506" s="36">
        <f t="shared" si="10"/>
        <v>69</v>
      </c>
      <c r="J506" s="10"/>
      <c r="L506" s="10"/>
    </row>
    <row r="507" spans="1:31" s="30" customFormat="1" x14ac:dyDescent="0.2">
      <c r="A507" s="32"/>
      <c r="B507" s="265"/>
      <c r="C507" s="273" t="s">
        <v>289</v>
      </c>
      <c r="D507" s="44"/>
      <c r="E507" s="36"/>
      <c r="F507" s="36">
        <v>5.05</v>
      </c>
      <c r="G507" s="36">
        <v>1.95</v>
      </c>
      <c r="H507" s="36"/>
      <c r="I507" s="36">
        <f t="shared" si="10"/>
        <v>9.85</v>
      </c>
      <c r="J507" s="10"/>
      <c r="L507" s="10"/>
    </row>
    <row r="508" spans="1:31" s="10" customFormat="1" x14ac:dyDescent="0.2">
      <c r="A508" s="32"/>
      <c r="B508" s="265"/>
      <c r="C508" s="273" t="s">
        <v>296</v>
      </c>
      <c r="D508" s="44"/>
      <c r="E508" s="36"/>
      <c r="F508" s="36">
        <v>10.55</v>
      </c>
      <c r="G508" s="36">
        <v>5.15</v>
      </c>
      <c r="H508" s="36"/>
      <c r="I508" s="36">
        <f>ROUND((PRODUCT(E508:H508)),2)</f>
        <v>54.33</v>
      </c>
    </row>
    <row r="509" spans="1:31" s="10" customFormat="1" x14ac:dyDescent="0.2">
      <c r="A509" s="32"/>
      <c r="B509" s="265"/>
      <c r="C509" s="273" t="s">
        <v>297</v>
      </c>
      <c r="D509" s="44"/>
      <c r="E509" s="36"/>
      <c r="F509" s="36">
        <v>10.55</v>
      </c>
      <c r="G509" s="36">
        <v>5.15</v>
      </c>
      <c r="H509" s="36"/>
      <c r="I509" s="36">
        <f>ROUND((PRODUCT(E509:H509)),2)</f>
        <v>54.33</v>
      </c>
    </row>
    <row r="510" spans="1:31" s="10" customFormat="1" x14ac:dyDescent="0.2">
      <c r="A510" s="32"/>
      <c r="B510" s="265"/>
      <c r="C510" s="273" t="s">
        <v>789</v>
      </c>
      <c r="D510" s="44"/>
      <c r="E510" s="36"/>
      <c r="F510" s="36">
        <v>11.85</v>
      </c>
      <c r="G510" s="36">
        <v>0.95</v>
      </c>
      <c r="H510" s="36"/>
      <c r="I510" s="36">
        <f>ROUND(PRODUCT(E510:H510),2)</f>
        <v>11.26</v>
      </c>
      <c r="K510" s="299"/>
      <c r="L510" s="300">
        <v>0.8</v>
      </c>
      <c r="M510" s="300">
        <v>0.8</v>
      </c>
      <c r="N510" s="300">
        <v>0.2</v>
      </c>
      <c r="O510" s="300">
        <v>0.3</v>
      </c>
      <c r="P510" s="300">
        <v>0.15</v>
      </c>
      <c r="Q510" s="300">
        <v>0.25</v>
      </c>
      <c r="R510" s="300">
        <v>1.5</v>
      </c>
    </row>
    <row r="511" spans="1:31" s="10" customFormat="1" x14ac:dyDescent="0.2">
      <c r="A511" s="32"/>
      <c r="B511" s="265"/>
      <c r="C511" s="273" t="s">
        <v>791</v>
      </c>
      <c r="D511" s="44"/>
      <c r="E511" s="36"/>
      <c r="F511" s="36">
        <v>42.35</v>
      </c>
      <c r="G511" s="36">
        <v>1.94</v>
      </c>
      <c r="H511" s="36"/>
      <c r="I511" s="36">
        <f>ROUND((PRODUCT(E511:H511)),2)</f>
        <v>82.16</v>
      </c>
    </row>
    <row r="512" spans="1:31" s="10" customFormat="1" x14ac:dyDescent="0.2">
      <c r="A512" s="32"/>
      <c r="B512" s="265"/>
      <c r="C512" s="273" t="s">
        <v>410</v>
      </c>
      <c r="D512" s="44"/>
      <c r="E512" s="36"/>
      <c r="F512" s="36">
        <v>10</v>
      </c>
      <c r="G512" s="36">
        <v>3.85</v>
      </c>
      <c r="H512" s="36"/>
      <c r="I512" s="36">
        <f>ROUND((PRODUCT(E512:H512)),2)</f>
        <v>38.5</v>
      </c>
      <c r="K512" s="36">
        <v>0.9</v>
      </c>
    </row>
    <row r="513" spans="1:31" s="10" customFormat="1" x14ac:dyDescent="0.2">
      <c r="A513" s="32"/>
      <c r="B513" s="265"/>
      <c r="C513" s="273"/>
      <c r="D513" s="44"/>
      <c r="E513" s="36"/>
      <c r="F513" s="36" t="s">
        <v>201</v>
      </c>
      <c r="G513" s="36"/>
      <c r="H513" s="36"/>
      <c r="I513" s="36"/>
      <c r="K513" s="9"/>
    </row>
    <row r="514" spans="1:31" s="10" customFormat="1" x14ac:dyDescent="0.2">
      <c r="A514" s="32"/>
      <c r="B514" s="265"/>
      <c r="C514" s="273" t="s">
        <v>856</v>
      </c>
      <c r="D514" s="44"/>
      <c r="E514" s="36">
        <v>-1</v>
      </c>
      <c r="F514" s="36">
        <v>168.66</v>
      </c>
      <c r="G514" s="36"/>
      <c r="H514" s="36"/>
      <c r="I514" s="36">
        <f>ROUND(PRODUCT(E514:H514),2)</f>
        <v>-168.66</v>
      </c>
      <c r="K514" s="9"/>
    </row>
    <row r="515" spans="1:31" s="10" customFormat="1" x14ac:dyDescent="0.2">
      <c r="A515" s="32"/>
      <c r="B515" s="265"/>
      <c r="C515" s="45" t="str">
        <f>"Total item "&amp;A500</f>
        <v>Total item 8.4</v>
      </c>
      <c r="D515" s="44"/>
      <c r="E515" s="36"/>
      <c r="F515" s="36"/>
      <c r="G515" s="36"/>
      <c r="H515" s="36"/>
      <c r="I515" s="19">
        <f>SUM(I501:I514)</f>
        <v>495.77</v>
      </c>
    </row>
    <row r="516" spans="1:31" s="10" customFormat="1" x14ac:dyDescent="0.2">
      <c r="A516" s="32"/>
      <c r="B516" s="265"/>
      <c r="C516" s="266"/>
      <c r="D516" s="33"/>
      <c r="E516" s="267"/>
      <c r="F516" s="267"/>
      <c r="G516" s="267"/>
      <c r="H516" s="267"/>
      <c r="I516" s="267"/>
    </row>
    <row r="517" spans="1:31" s="31" customFormat="1" ht="33.75" x14ac:dyDescent="0.2">
      <c r="A517" s="268" t="s">
        <v>356</v>
      </c>
      <c r="B517" s="296" t="s">
        <v>59</v>
      </c>
      <c r="C517" s="270" t="s">
        <v>332</v>
      </c>
      <c r="D517" s="271" t="s">
        <v>109</v>
      </c>
      <c r="E517" s="19"/>
      <c r="F517" s="272"/>
      <c r="G517" s="19"/>
      <c r="H517" s="19"/>
      <c r="I517" s="19"/>
      <c r="AE517" s="31" t="s">
        <v>137</v>
      </c>
    </row>
    <row r="518" spans="1:31" s="30" customFormat="1" x14ac:dyDescent="0.2">
      <c r="A518" s="32"/>
      <c r="B518" s="265"/>
      <c r="C518" s="273"/>
      <c r="D518" s="44"/>
      <c r="E518" s="36">
        <v>8</v>
      </c>
      <c r="F518" s="36"/>
      <c r="G518" s="36"/>
      <c r="H518" s="36">
        <v>7</v>
      </c>
      <c r="I518" s="278">
        <f>ROUND(PRODUCT(E518:H518),2)</f>
        <v>56</v>
      </c>
      <c r="J518" s="10"/>
      <c r="L518" s="10"/>
    </row>
    <row r="519" spans="1:31" s="10" customFormat="1" x14ac:dyDescent="0.2">
      <c r="A519" s="32"/>
      <c r="B519" s="265"/>
      <c r="C519" s="45" t="str">
        <f>"Total item "&amp;A517</f>
        <v>Total item 8.5</v>
      </c>
      <c r="D519" s="44"/>
      <c r="E519" s="36"/>
      <c r="F519" s="36"/>
      <c r="G519" s="36"/>
      <c r="H519" s="36"/>
      <c r="I519" s="19">
        <f>SUM(I518:I518)</f>
        <v>56</v>
      </c>
    </row>
    <row r="520" spans="1:31" s="10" customFormat="1" x14ac:dyDescent="0.2">
      <c r="A520" s="32"/>
      <c r="B520" s="265"/>
      <c r="C520" s="266"/>
      <c r="D520" s="33"/>
      <c r="E520" s="267"/>
      <c r="F520" s="267"/>
      <c r="G520" s="267"/>
      <c r="H520" s="267"/>
      <c r="I520" s="267"/>
    </row>
    <row r="521" spans="1:31" s="31" customFormat="1" ht="33.75" x14ac:dyDescent="0.2">
      <c r="A521" s="268" t="s">
        <v>819</v>
      </c>
      <c r="B521" s="296" t="s">
        <v>59</v>
      </c>
      <c r="C521" s="270" t="s">
        <v>334</v>
      </c>
      <c r="D521" s="271" t="s">
        <v>109</v>
      </c>
      <c r="E521" s="19"/>
      <c r="F521" s="272"/>
      <c r="G521" s="19"/>
      <c r="H521" s="19"/>
      <c r="I521" s="19"/>
      <c r="AE521" s="31" t="s">
        <v>138</v>
      </c>
    </row>
    <row r="522" spans="1:31" s="30" customFormat="1" x14ac:dyDescent="0.2">
      <c r="A522" s="32"/>
      <c r="B522" s="265"/>
      <c r="C522" s="273"/>
      <c r="D522" s="273"/>
      <c r="E522" s="273"/>
      <c r="F522" s="36">
        <v>46</v>
      </c>
      <c r="G522" s="36"/>
      <c r="H522" s="36"/>
      <c r="I522" s="36">
        <f>ROUND(PRODUCT(E522:H522),2)</f>
        <v>46</v>
      </c>
      <c r="J522" s="10"/>
      <c r="L522" s="10"/>
    </row>
    <row r="523" spans="1:31" s="30" customFormat="1" x14ac:dyDescent="0.2">
      <c r="A523" s="32"/>
      <c r="B523" s="265"/>
      <c r="C523" s="273" t="s">
        <v>480</v>
      </c>
      <c r="D523" s="44"/>
      <c r="E523" s="36">
        <v>2</v>
      </c>
      <c r="F523" s="36">
        <v>10.1</v>
      </c>
      <c r="G523" s="36"/>
      <c r="H523" s="36"/>
      <c r="I523" s="36">
        <f>ROUND(PRODUCT(E523:H523),2)</f>
        <v>20.2</v>
      </c>
      <c r="J523" s="10"/>
      <c r="L523" s="10"/>
    </row>
    <row r="524" spans="1:31" s="10" customFormat="1" x14ac:dyDescent="0.2">
      <c r="A524" s="32"/>
      <c r="B524" s="265"/>
      <c r="C524" s="45" t="str">
        <f>"Total item "&amp;A521</f>
        <v>Total item 8.6</v>
      </c>
      <c r="D524" s="44"/>
      <c r="E524" s="36"/>
      <c r="F524" s="36"/>
      <c r="G524" s="36"/>
      <c r="H524" s="36"/>
      <c r="I524" s="19">
        <f>SUM(I522:I523)</f>
        <v>66.2</v>
      </c>
    </row>
    <row r="525" spans="1:31" s="10" customFormat="1" x14ac:dyDescent="0.2">
      <c r="A525" s="32"/>
      <c r="B525" s="265"/>
      <c r="C525" s="266"/>
      <c r="D525" s="33"/>
      <c r="E525" s="267"/>
      <c r="F525" s="267"/>
      <c r="G525" s="267"/>
      <c r="H525" s="267"/>
      <c r="I525" s="267"/>
    </row>
    <row r="526" spans="1:31" s="263" customFormat="1" ht="10.5" customHeight="1" x14ac:dyDescent="0.2">
      <c r="A526" s="252" t="s">
        <v>239</v>
      </c>
      <c r="B526" s="253"/>
      <c r="C526" s="254" t="s">
        <v>44</v>
      </c>
      <c r="D526" s="255"/>
      <c r="E526" s="256"/>
      <c r="F526" s="256"/>
      <c r="G526" s="256"/>
      <c r="H526" s="256"/>
      <c r="I526" s="256"/>
      <c r="J526" s="261" t="s">
        <v>110</v>
      </c>
      <c r="K526" s="262" t="s">
        <v>160</v>
      </c>
      <c r="AE526" s="264"/>
    </row>
    <row r="527" spans="1:31" s="10" customFormat="1" x14ac:dyDescent="0.2">
      <c r="A527" s="32"/>
      <c r="B527" s="265"/>
      <c r="C527" s="266"/>
      <c r="D527" s="33"/>
      <c r="E527" s="267"/>
      <c r="F527" s="267"/>
      <c r="G527" s="267"/>
      <c r="H527" s="267"/>
      <c r="I527" s="267"/>
    </row>
    <row r="528" spans="1:31" s="31" customFormat="1" ht="56.25" x14ac:dyDescent="0.2">
      <c r="A528" s="268" t="s">
        <v>32</v>
      </c>
      <c r="B528" s="296" t="s">
        <v>59</v>
      </c>
      <c r="C528" s="270" t="s">
        <v>259</v>
      </c>
      <c r="D528" s="271" t="s">
        <v>115</v>
      </c>
      <c r="E528" s="19"/>
      <c r="F528" s="272"/>
      <c r="G528" s="19"/>
      <c r="H528" s="19"/>
      <c r="I528" s="19"/>
      <c r="AE528" s="31" t="s">
        <v>139</v>
      </c>
    </row>
    <row r="529" spans="1:31" s="30" customFormat="1" x14ac:dyDescent="0.2">
      <c r="A529" s="32"/>
      <c r="B529" s="265"/>
      <c r="C529" s="273" t="s">
        <v>247</v>
      </c>
      <c r="D529" s="273"/>
      <c r="E529" s="273"/>
      <c r="F529" s="36">
        <v>1</v>
      </c>
      <c r="G529" s="36"/>
      <c r="H529" s="36"/>
      <c r="I529" s="36">
        <f t="shared" ref="I529:I535" si="11">ROUND(PRODUCT(E529:H529),2)</f>
        <v>1</v>
      </c>
      <c r="J529" s="10"/>
      <c r="L529" s="10"/>
    </row>
    <row r="530" spans="1:31" s="30" customFormat="1" x14ac:dyDescent="0.2">
      <c r="A530" s="32"/>
      <c r="B530" s="265"/>
      <c r="C530" s="273" t="s">
        <v>291</v>
      </c>
      <c r="D530" s="44"/>
      <c r="E530" s="36"/>
      <c r="F530" s="36">
        <v>1</v>
      </c>
      <c r="G530" s="36"/>
      <c r="H530" s="36"/>
      <c r="I530" s="36">
        <f t="shared" si="11"/>
        <v>1</v>
      </c>
      <c r="J530" s="10"/>
      <c r="L530" s="10"/>
    </row>
    <row r="531" spans="1:31" s="30" customFormat="1" x14ac:dyDescent="0.2">
      <c r="A531" s="32"/>
      <c r="B531" s="265"/>
      <c r="C531" s="273" t="s">
        <v>292</v>
      </c>
      <c r="D531" s="44"/>
      <c r="E531" s="36"/>
      <c r="F531" s="36">
        <v>1</v>
      </c>
      <c r="G531" s="36"/>
      <c r="H531" s="36"/>
      <c r="I531" s="36">
        <f t="shared" si="11"/>
        <v>1</v>
      </c>
      <c r="J531" s="10"/>
      <c r="L531" s="10"/>
    </row>
    <row r="532" spans="1:31" s="30" customFormat="1" x14ac:dyDescent="0.2">
      <c r="A532" s="32"/>
      <c r="B532" s="265"/>
      <c r="C532" s="273" t="s">
        <v>293</v>
      </c>
      <c r="D532" s="44"/>
      <c r="E532" s="36"/>
      <c r="F532" s="36">
        <v>1</v>
      </c>
      <c r="G532" s="36"/>
      <c r="H532" s="36"/>
      <c r="I532" s="36">
        <f t="shared" si="11"/>
        <v>1</v>
      </c>
      <c r="J532" s="10"/>
      <c r="L532" s="10"/>
    </row>
    <row r="533" spans="1:31" s="30" customFormat="1" x14ac:dyDescent="0.2">
      <c r="A533" s="32"/>
      <c r="B533" s="265"/>
      <c r="C533" s="273" t="s">
        <v>294</v>
      </c>
      <c r="D533" s="44"/>
      <c r="E533" s="36"/>
      <c r="F533" s="36">
        <v>1</v>
      </c>
      <c r="G533" s="36"/>
      <c r="H533" s="36"/>
      <c r="I533" s="36">
        <f t="shared" si="11"/>
        <v>1</v>
      </c>
      <c r="J533" s="10"/>
      <c r="L533" s="10"/>
    </row>
    <row r="534" spans="1:31" s="30" customFormat="1" x14ac:dyDescent="0.2">
      <c r="A534" s="32"/>
      <c r="B534" s="265"/>
      <c r="C534" s="273" t="s">
        <v>295</v>
      </c>
      <c r="D534" s="44"/>
      <c r="E534" s="36"/>
      <c r="F534" s="36">
        <v>1</v>
      </c>
      <c r="G534" s="36"/>
      <c r="H534" s="36"/>
      <c r="I534" s="36">
        <f t="shared" si="11"/>
        <v>1</v>
      </c>
      <c r="J534" s="10"/>
      <c r="L534" s="10"/>
    </row>
    <row r="535" spans="1:31" s="30" customFormat="1" x14ac:dyDescent="0.2">
      <c r="A535" s="32"/>
      <c r="B535" s="265"/>
      <c r="C535" s="273" t="s">
        <v>289</v>
      </c>
      <c r="D535" s="44"/>
      <c r="E535" s="36"/>
      <c r="F535" s="36">
        <v>1</v>
      </c>
      <c r="G535" s="36"/>
      <c r="H535" s="36"/>
      <c r="I535" s="36">
        <f t="shared" si="11"/>
        <v>1</v>
      </c>
      <c r="J535" s="10"/>
      <c r="L535" s="10"/>
    </row>
    <row r="536" spans="1:31" s="10" customFormat="1" x14ac:dyDescent="0.2">
      <c r="A536" s="32"/>
      <c r="B536" s="265"/>
      <c r="C536" s="273" t="s">
        <v>789</v>
      </c>
      <c r="D536" s="44"/>
      <c r="E536" s="36"/>
      <c r="F536" s="36">
        <v>1</v>
      </c>
      <c r="G536" s="36"/>
      <c r="H536" s="36"/>
      <c r="I536" s="36">
        <f>ROUND(PRODUCT(E536:H536),2)</f>
        <v>1</v>
      </c>
      <c r="K536" s="299"/>
      <c r="L536" s="300">
        <v>0.8</v>
      </c>
      <c r="M536" s="300">
        <v>0.8</v>
      </c>
      <c r="N536" s="300">
        <v>0.2</v>
      </c>
      <c r="O536" s="300">
        <v>0.3</v>
      </c>
      <c r="P536" s="300">
        <v>0.15</v>
      </c>
      <c r="Q536" s="300">
        <v>0.25</v>
      </c>
      <c r="R536" s="300">
        <v>1.5</v>
      </c>
    </row>
    <row r="537" spans="1:31" s="10" customFormat="1" x14ac:dyDescent="0.2">
      <c r="A537" s="32"/>
      <c r="B537" s="265"/>
      <c r="C537" s="273" t="s">
        <v>296</v>
      </c>
      <c r="D537" s="44"/>
      <c r="E537" s="36"/>
      <c r="F537" s="36">
        <v>1</v>
      </c>
      <c r="G537" s="36"/>
      <c r="H537" s="36"/>
      <c r="I537" s="36">
        <f>ROUND((PRODUCT(E537:H537)),2)</f>
        <v>1</v>
      </c>
    </row>
    <row r="538" spans="1:31" s="10" customFormat="1" x14ac:dyDescent="0.2">
      <c r="A538" s="32"/>
      <c r="B538" s="265"/>
      <c r="C538" s="273" t="s">
        <v>297</v>
      </c>
      <c r="D538" s="44"/>
      <c r="E538" s="36"/>
      <c r="F538" s="36">
        <v>1</v>
      </c>
      <c r="G538" s="36"/>
      <c r="H538" s="36"/>
      <c r="I538" s="36">
        <f>ROUND((PRODUCT(E538:H538)),2)</f>
        <v>1</v>
      </c>
    </row>
    <row r="539" spans="1:31" s="10" customFormat="1" x14ac:dyDescent="0.2">
      <c r="A539" s="32"/>
      <c r="B539" s="265"/>
      <c r="C539" s="45" t="str">
        <f>"Total item "&amp;A528</f>
        <v>Total item 9.1</v>
      </c>
      <c r="D539" s="44"/>
      <c r="E539" s="36"/>
      <c r="F539" s="36"/>
      <c r="G539" s="36"/>
      <c r="H539" s="36"/>
      <c r="I539" s="19">
        <f>SUM(I529:I538)</f>
        <v>10</v>
      </c>
    </row>
    <row r="540" spans="1:31" s="10" customFormat="1" x14ac:dyDescent="0.2">
      <c r="A540" s="32"/>
      <c r="B540" s="265"/>
      <c r="C540" s="266"/>
      <c r="D540" s="33"/>
      <c r="E540" s="267"/>
      <c r="F540" s="267"/>
      <c r="G540" s="267"/>
      <c r="H540" s="267"/>
      <c r="I540" s="267"/>
    </row>
    <row r="541" spans="1:31" s="31" customFormat="1" ht="56.25" x14ac:dyDescent="0.2">
      <c r="A541" s="268" t="s">
        <v>820</v>
      </c>
      <c r="B541" s="296" t="s">
        <v>59</v>
      </c>
      <c r="C541" s="270" t="s">
        <v>336</v>
      </c>
      <c r="D541" s="271" t="s">
        <v>115</v>
      </c>
      <c r="E541" s="19"/>
      <c r="F541" s="272"/>
      <c r="G541" s="19"/>
      <c r="H541" s="19"/>
      <c r="I541" s="19"/>
      <c r="AE541" s="31" t="s">
        <v>139</v>
      </c>
    </row>
    <row r="542" spans="1:31" s="10" customFormat="1" x14ac:dyDescent="0.2">
      <c r="A542" s="32"/>
      <c r="B542" s="265"/>
      <c r="C542" s="273" t="s">
        <v>296</v>
      </c>
      <c r="D542" s="44"/>
      <c r="E542" s="36"/>
      <c r="F542" s="36">
        <v>6</v>
      </c>
      <c r="G542" s="36"/>
      <c r="H542" s="36"/>
      <c r="I542" s="36">
        <f>ROUND((PRODUCT(E542:H542)),2)</f>
        <v>6</v>
      </c>
    </row>
    <row r="543" spans="1:31" s="10" customFormat="1" x14ac:dyDescent="0.2">
      <c r="A543" s="32"/>
      <c r="B543" s="265"/>
      <c r="C543" s="273" t="s">
        <v>297</v>
      </c>
      <c r="D543" s="44"/>
      <c r="E543" s="36"/>
      <c r="F543" s="36">
        <v>6</v>
      </c>
      <c r="G543" s="36"/>
      <c r="H543" s="36"/>
      <c r="I543" s="36">
        <f>ROUND((PRODUCT(E543:H543)),2)</f>
        <v>6</v>
      </c>
    </row>
    <row r="544" spans="1:31" s="10" customFormat="1" x14ac:dyDescent="0.2">
      <c r="A544" s="32"/>
      <c r="B544" s="265"/>
      <c r="C544" s="45" t="str">
        <f>"Total item "&amp;A541</f>
        <v>Total item 9.2</v>
      </c>
      <c r="D544" s="44"/>
      <c r="E544" s="36"/>
      <c r="F544" s="36"/>
      <c r="G544" s="36"/>
      <c r="H544" s="36"/>
      <c r="I544" s="19">
        <f>SUM(I542:I543)</f>
        <v>12</v>
      </c>
    </row>
    <row r="545" spans="1:31" s="10" customFormat="1" x14ac:dyDescent="0.2">
      <c r="A545" s="32"/>
      <c r="B545" s="265"/>
      <c r="C545" s="266"/>
      <c r="D545" s="33"/>
      <c r="E545" s="267"/>
      <c r="F545" s="267"/>
      <c r="G545" s="267"/>
      <c r="H545" s="267"/>
      <c r="I545" s="267"/>
    </row>
    <row r="546" spans="1:31" s="31" customFormat="1" ht="22.5" x14ac:dyDescent="0.2">
      <c r="A546" s="268" t="s">
        <v>821</v>
      </c>
      <c r="B546" s="296" t="s">
        <v>59</v>
      </c>
      <c r="C546" s="270" t="s">
        <v>558</v>
      </c>
      <c r="D546" s="271" t="s">
        <v>115</v>
      </c>
      <c r="E546" s="19"/>
      <c r="F546" s="272"/>
      <c r="G546" s="19"/>
      <c r="H546" s="19"/>
      <c r="I546" s="19"/>
      <c r="AE546" s="31" t="s">
        <v>139</v>
      </c>
    </row>
    <row r="547" spans="1:31" s="10" customFormat="1" x14ac:dyDescent="0.2">
      <c r="A547" s="32"/>
      <c r="B547" s="265"/>
      <c r="C547" s="273" t="s">
        <v>296</v>
      </c>
      <c r="D547" s="44"/>
      <c r="E547" s="36"/>
      <c r="F547" s="36">
        <v>1</v>
      </c>
      <c r="G547" s="36"/>
      <c r="H547" s="36"/>
      <c r="I547" s="36">
        <f>ROUND((PRODUCT(E547:H547)),2)</f>
        <v>1</v>
      </c>
    </row>
    <row r="548" spans="1:31" s="10" customFormat="1" x14ac:dyDescent="0.2">
      <c r="A548" s="32"/>
      <c r="B548" s="265"/>
      <c r="C548" s="273" t="s">
        <v>297</v>
      </c>
      <c r="D548" s="44"/>
      <c r="E548" s="36"/>
      <c r="F548" s="36">
        <v>1</v>
      </c>
      <c r="G548" s="36"/>
      <c r="H548" s="36"/>
      <c r="I548" s="36">
        <f>ROUND((PRODUCT(E548:H548)),2)</f>
        <v>1</v>
      </c>
    </row>
    <row r="549" spans="1:31" s="10" customFormat="1" x14ac:dyDescent="0.2">
      <c r="A549" s="32"/>
      <c r="B549" s="265"/>
      <c r="C549" s="45" t="str">
        <f>"Total item "&amp;A546</f>
        <v>Total item 9.3</v>
      </c>
      <c r="D549" s="44"/>
      <c r="E549" s="36"/>
      <c r="F549" s="36"/>
      <c r="G549" s="36"/>
      <c r="H549" s="36"/>
      <c r="I549" s="19">
        <f>SUM(I547:I548)</f>
        <v>2</v>
      </c>
    </row>
    <row r="550" spans="1:31" s="10" customFormat="1" x14ac:dyDescent="0.2">
      <c r="A550" s="32"/>
      <c r="B550" s="265"/>
      <c r="C550" s="266"/>
      <c r="D550" s="33"/>
      <c r="E550" s="267"/>
      <c r="F550" s="267"/>
      <c r="G550" s="267"/>
      <c r="H550" s="267"/>
      <c r="I550" s="267"/>
    </row>
    <row r="551" spans="1:31" s="31" customFormat="1" ht="33.75" x14ac:dyDescent="0.2">
      <c r="A551" s="268" t="s">
        <v>822</v>
      </c>
      <c r="B551" s="296" t="s">
        <v>562</v>
      </c>
      <c r="C551" s="270" t="s">
        <v>561</v>
      </c>
      <c r="D551" s="271" t="s">
        <v>112</v>
      </c>
      <c r="E551" s="19"/>
      <c r="F551" s="272"/>
      <c r="G551" s="19"/>
      <c r="H551" s="19"/>
      <c r="I551" s="19"/>
      <c r="AE551" s="31" t="s">
        <v>139</v>
      </c>
    </row>
    <row r="552" spans="1:31" s="10" customFormat="1" x14ac:dyDescent="0.2">
      <c r="A552" s="32"/>
      <c r="B552" s="265"/>
      <c r="C552" s="273" t="s">
        <v>563</v>
      </c>
      <c r="D552" s="44"/>
      <c r="E552" s="36">
        <v>4</v>
      </c>
      <c r="F552" s="36"/>
      <c r="G552" s="36">
        <v>0.9</v>
      </c>
      <c r="H552" s="36">
        <v>0.5</v>
      </c>
      <c r="I552" s="36">
        <f>ROUND((PRODUCT(E552:H552)),2)</f>
        <v>1.8</v>
      </c>
    </row>
    <row r="553" spans="1:31" s="10" customFormat="1" x14ac:dyDescent="0.2">
      <c r="A553" s="32"/>
      <c r="B553" s="265"/>
      <c r="C553" s="273" t="s">
        <v>564</v>
      </c>
      <c r="D553" s="44"/>
      <c r="E553" s="36">
        <f>6*2</f>
        <v>12</v>
      </c>
      <c r="F553" s="36"/>
      <c r="G553" s="36">
        <v>0.9</v>
      </c>
      <c r="H553" s="36">
        <v>0.5</v>
      </c>
      <c r="I553" s="36">
        <f>ROUND((PRODUCT(E553:H553)),2)</f>
        <v>5.4</v>
      </c>
    </row>
    <row r="554" spans="1:31" s="10" customFormat="1" x14ac:dyDescent="0.2">
      <c r="A554" s="32"/>
      <c r="B554" s="265"/>
      <c r="C554" s="45" t="str">
        <f>"Total item "&amp;A551</f>
        <v>Total item 9.4</v>
      </c>
      <c r="D554" s="44"/>
      <c r="E554" s="36"/>
      <c r="F554" s="36"/>
      <c r="G554" s="36"/>
      <c r="H554" s="36"/>
      <c r="I554" s="19">
        <f>SUM(I552:I553)</f>
        <v>7.2</v>
      </c>
    </row>
    <row r="555" spans="1:31" s="10" customFormat="1" x14ac:dyDescent="0.2">
      <c r="A555" s="32"/>
      <c r="B555" s="265"/>
      <c r="C555" s="266"/>
      <c r="D555" s="33"/>
      <c r="E555" s="267"/>
      <c r="F555" s="267"/>
      <c r="G555" s="267"/>
      <c r="H555" s="267"/>
      <c r="I555" s="267"/>
    </row>
    <row r="556" spans="1:31" s="31" customFormat="1" ht="56.25" x14ac:dyDescent="0.2">
      <c r="A556" s="268" t="s">
        <v>823</v>
      </c>
      <c r="B556" s="296" t="s">
        <v>59</v>
      </c>
      <c r="C556" s="270" t="s">
        <v>338</v>
      </c>
      <c r="D556" s="271" t="s">
        <v>112</v>
      </c>
      <c r="E556" s="19"/>
      <c r="F556" s="272"/>
      <c r="G556" s="19"/>
      <c r="H556" s="19"/>
      <c r="I556" s="19"/>
      <c r="AE556" s="31" t="s">
        <v>139</v>
      </c>
    </row>
    <row r="557" spans="1:31" s="10" customFormat="1" x14ac:dyDescent="0.2">
      <c r="A557" s="32"/>
      <c r="B557" s="265"/>
      <c r="C557" s="273" t="s">
        <v>306</v>
      </c>
      <c r="D557" s="44"/>
      <c r="E557" s="36">
        <v>4</v>
      </c>
      <c r="F557" s="36">
        <v>1.4</v>
      </c>
      <c r="G557" s="36"/>
      <c r="H557" s="36">
        <v>0.4</v>
      </c>
      <c r="I557" s="36">
        <f>ROUND((PRODUCT(E557:H557)),2)</f>
        <v>2.2400000000000002</v>
      </c>
    </row>
    <row r="558" spans="1:31" s="10" customFormat="1" x14ac:dyDescent="0.2">
      <c r="A558" s="32"/>
      <c r="B558" s="265"/>
      <c r="C558" s="45" t="str">
        <f>"Total item "&amp;A556</f>
        <v>Total item 9.5</v>
      </c>
      <c r="D558" s="44"/>
      <c r="E558" s="36"/>
      <c r="F558" s="36"/>
      <c r="G558" s="36"/>
      <c r="H558" s="36"/>
      <c r="I558" s="19">
        <f>SUM(I557:I557)</f>
        <v>2.2400000000000002</v>
      </c>
    </row>
    <row r="559" spans="1:31" s="10" customFormat="1" x14ac:dyDescent="0.2">
      <c r="A559" s="32"/>
      <c r="B559" s="265"/>
      <c r="C559" s="266"/>
      <c r="D559" s="33"/>
      <c r="E559" s="267"/>
      <c r="F559" s="267"/>
      <c r="G559" s="267"/>
      <c r="H559" s="267"/>
      <c r="I559" s="267"/>
    </row>
    <row r="560" spans="1:31" s="31" customFormat="1" ht="67.5" x14ac:dyDescent="0.2">
      <c r="A560" s="268" t="s">
        <v>824</v>
      </c>
      <c r="B560" s="296" t="s">
        <v>59</v>
      </c>
      <c r="C560" s="270" t="s">
        <v>795</v>
      </c>
      <c r="D560" s="271" t="s">
        <v>112</v>
      </c>
      <c r="E560" s="19"/>
      <c r="F560" s="272"/>
      <c r="G560" s="19"/>
      <c r="H560" s="19"/>
      <c r="I560" s="19"/>
      <c r="AE560" s="31" t="s">
        <v>139</v>
      </c>
    </row>
    <row r="561" spans="1:31" s="30" customFormat="1" x14ac:dyDescent="0.2">
      <c r="A561" s="32"/>
      <c r="B561" s="265"/>
      <c r="C561" s="273" t="s">
        <v>305</v>
      </c>
      <c r="D561" s="44"/>
      <c r="E561" s="36">
        <v>12</v>
      </c>
      <c r="F561" s="36">
        <v>3</v>
      </c>
      <c r="G561" s="36"/>
      <c r="H561" s="36">
        <v>1.5</v>
      </c>
      <c r="I561" s="36">
        <f>ROUND((PRODUCT(E561:H561)),2)</f>
        <v>54</v>
      </c>
      <c r="J561" s="10"/>
      <c r="L561" s="10"/>
    </row>
    <row r="562" spans="1:31" s="30" customFormat="1" x14ac:dyDescent="0.2">
      <c r="A562" s="32"/>
      <c r="B562" s="265"/>
      <c r="C562" s="273"/>
      <c r="D562" s="44"/>
      <c r="E562" s="36"/>
      <c r="F562" s="36" t="s">
        <v>201</v>
      </c>
      <c r="G562" s="36"/>
      <c r="H562" s="36"/>
      <c r="I562" s="36"/>
      <c r="J562" s="10"/>
      <c r="L562" s="10"/>
    </row>
    <row r="563" spans="1:31" s="30" customFormat="1" x14ac:dyDescent="0.2">
      <c r="A563" s="32"/>
      <c r="B563" s="265"/>
      <c r="C563" s="273" t="s">
        <v>857</v>
      </c>
      <c r="D563" s="44"/>
      <c r="E563" s="36">
        <v>-1</v>
      </c>
      <c r="F563" s="36">
        <v>13.5</v>
      </c>
      <c r="G563" s="36"/>
      <c r="H563" s="36"/>
      <c r="I563" s="36">
        <f>ROUND(PRODUCT(E563:H563),2)</f>
        <v>-13.5</v>
      </c>
      <c r="J563" s="10"/>
      <c r="L563" s="10"/>
    </row>
    <row r="564" spans="1:31" s="10" customFormat="1" x14ac:dyDescent="0.2">
      <c r="A564" s="32"/>
      <c r="B564" s="265"/>
      <c r="C564" s="45" t="str">
        <f>"Total item "&amp;A560</f>
        <v>Total item 9.6</v>
      </c>
      <c r="D564" s="44"/>
      <c r="E564" s="36"/>
      <c r="F564" s="36"/>
      <c r="G564" s="36"/>
      <c r="H564" s="36"/>
      <c r="I564" s="19">
        <f>SUM(I561:I563)</f>
        <v>40.5</v>
      </c>
    </row>
    <row r="565" spans="1:31" s="10" customFormat="1" x14ac:dyDescent="0.2">
      <c r="A565" s="32"/>
      <c r="B565" s="265"/>
      <c r="C565" s="266"/>
      <c r="D565" s="33"/>
      <c r="E565" s="267"/>
      <c r="F565" s="267"/>
      <c r="G565" s="267"/>
      <c r="H565" s="267"/>
      <c r="I565" s="267"/>
    </row>
    <row r="566" spans="1:31" s="263" customFormat="1" ht="10.5" customHeight="1" x14ac:dyDescent="0.2">
      <c r="A566" s="252" t="s">
        <v>240</v>
      </c>
      <c r="B566" s="253"/>
      <c r="C566" s="254" t="s">
        <v>45</v>
      </c>
      <c r="D566" s="255"/>
      <c r="E566" s="256"/>
      <c r="F566" s="256"/>
      <c r="G566" s="256"/>
      <c r="H566" s="256"/>
      <c r="I566" s="256"/>
      <c r="J566" s="261" t="s">
        <v>110</v>
      </c>
      <c r="K566" s="262" t="s">
        <v>160</v>
      </c>
      <c r="AE566" s="264"/>
    </row>
    <row r="567" spans="1:31" s="10" customFormat="1" x14ac:dyDescent="0.2">
      <c r="A567" s="32"/>
      <c r="B567" s="265"/>
      <c r="C567" s="266"/>
      <c r="D567" s="33"/>
      <c r="E567" s="267"/>
      <c r="F567" s="267"/>
      <c r="G567" s="267"/>
      <c r="H567" s="267"/>
      <c r="I567" s="267"/>
    </row>
    <row r="568" spans="1:31" s="31" customFormat="1" ht="22.5" x14ac:dyDescent="0.2">
      <c r="A568" s="268" t="s">
        <v>33</v>
      </c>
      <c r="B568" s="269" t="s">
        <v>59</v>
      </c>
      <c r="C568" s="270" t="s">
        <v>522</v>
      </c>
      <c r="D568" s="271" t="s">
        <v>112</v>
      </c>
      <c r="E568" s="19"/>
      <c r="F568" s="272"/>
      <c r="G568" s="19"/>
      <c r="H568" s="19"/>
      <c r="I568" s="19"/>
      <c r="AE568" s="31" t="s">
        <v>140</v>
      </c>
    </row>
    <row r="569" spans="1:31" s="10" customFormat="1" x14ac:dyDescent="0.2">
      <c r="A569" s="32"/>
      <c r="B569" s="265"/>
      <c r="C569" s="45" t="s">
        <v>243</v>
      </c>
      <c r="D569" s="44"/>
      <c r="E569" s="36"/>
      <c r="F569" s="36"/>
      <c r="G569" s="36"/>
      <c r="H569" s="36"/>
      <c r="I569" s="36"/>
    </row>
    <row r="570" spans="1:31" s="30" customFormat="1" x14ac:dyDescent="0.2">
      <c r="A570" s="32"/>
      <c r="B570" s="265"/>
      <c r="C570" s="273" t="s">
        <v>347</v>
      </c>
      <c r="D570" s="44"/>
      <c r="E570" s="36"/>
      <c r="F570" s="36">
        <f>I410</f>
        <v>1387.02</v>
      </c>
      <c r="G570" s="36"/>
      <c r="H570" s="36"/>
      <c r="I570" s="36">
        <f>ROUND(PRODUCT(E570:H570),2)</f>
        <v>1387.02</v>
      </c>
      <c r="J570" s="46"/>
      <c r="L570" s="46"/>
    </row>
    <row r="571" spans="1:31" s="30" customFormat="1" x14ac:dyDescent="0.2">
      <c r="A571" s="32"/>
      <c r="B571" s="265"/>
      <c r="C571" s="273" t="s">
        <v>348</v>
      </c>
      <c r="D571" s="44"/>
      <c r="E571" s="36"/>
      <c r="F571" s="36">
        <f>I515</f>
        <v>495.77</v>
      </c>
      <c r="G571" s="36"/>
      <c r="H571" s="36"/>
      <c r="I571" s="36">
        <f>ROUND(PRODUCT(E571:H571),2)</f>
        <v>495.77</v>
      </c>
      <c r="J571" s="46"/>
      <c r="L571" s="46"/>
    </row>
    <row r="572" spans="1:31" s="30" customFormat="1" x14ac:dyDescent="0.2">
      <c r="A572" s="32"/>
      <c r="B572" s="265"/>
      <c r="C572" s="273" t="s">
        <v>349</v>
      </c>
      <c r="D572" s="44"/>
      <c r="E572" s="36">
        <v>-1</v>
      </c>
      <c r="F572" s="36">
        <f>I428</f>
        <v>379.84000000000003</v>
      </c>
      <c r="G572" s="36"/>
      <c r="H572" s="36"/>
      <c r="I572" s="36">
        <f>ROUND(PRODUCT(E572:H572),2)</f>
        <v>-379.84</v>
      </c>
      <c r="J572" s="46"/>
      <c r="L572" s="46"/>
    </row>
    <row r="573" spans="1:31" s="10" customFormat="1" x14ac:dyDescent="0.2">
      <c r="A573" s="32"/>
      <c r="B573" s="265"/>
      <c r="C573" s="45" t="str">
        <f>"Total item "&amp;A568</f>
        <v>Total item 10.1</v>
      </c>
      <c r="D573" s="44"/>
      <c r="E573" s="36"/>
      <c r="F573" s="36"/>
      <c r="G573" s="36"/>
      <c r="H573" s="36"/>
      <c r="I573" s="19">
        <f>SUM(I569:I572)</f>
        <v>1502.95</v>
      </c>
    </row>
    <row r="574" spans="1:31" s="10" customFormat="1" x14ac:dyDescent="0.2">
      <c r="A574" s="32"/>
      <c r="B574" s="265"/>
      <c r="C574" s="266"/>
      <c r="D574" s="33"/>
      <c r="E574" s="267"/>
      <c r="F574" s="267"/>
      <c r="G574" s="267"/>
      <c r="H574" s="267"/>
      <c r="I574" s="267"/>
    </row>
    <row r="575" spans="1:31" s="31" customFormat="1" ht="22.5" x14ac:dyDescent="0.2">
      <c r="A575" s="268" t="s">
        <v>276</v>
      </c>
      <c r="B575" s="269" t="s">
        <v>59</v>
      </c>
      <c r="C575" s="270" t="s">
        <v>157</v>
      </c>
      <c r="D575" s="271" t="s">
        <v>112</v>
      </c>
      <c r="E575" s="19"/>
      <c r="F575" s="272"/>
      <c r="G575" s="19"/>
      <c r="H575" s="19"/>
      <c r="I575" s="19"/>
      <c r="AE575" s="31" t="s">
        <v>141</v>
      </c>
    </row>
    <row r="576" spans="1:31" s="10" customFormat="1" x14ac:dyDescent="0.2">
      <c r="A576" s="32"/>
      <c r="B576" s="265"/>
      <c r="C576" s="273"/>
      <c r="D576" s="44"/>
      <c r="E576" s="36"/>
      <c r="F576" s="36">
        <f>I573</f>
        <v>1502.95</v>
      </c>
      <c r="G576" s="36"/>
      <c r="H576" s="36"/>
      <c r="I576" s="36">
        <f>ROUND((PRODUCT(E576:H576)),2)</f>
        <v>1502.95</v>
      </c>
    </row>
    <row r="577" spans="1:31" s="10" customFormat="1" x14ac:dyDescent="0.2">
      <c r="A577" s="32"/>
      <c r="B577" s="265"/>
      <c r="C577" s="45" t="str">
        <f>"Total item "&amp;A575</f>
        <v>Total item 10.2</v>
      </c>
      <c r="D577" s="44"/>
      <c r="E577" s="36"/>
      <c r="F577" s="36"/>
      <c r="G577" s="36"/>
      <c r="H577" s="36"/>
      <c r="I577" s="19">
        <f>SUM(I576:I576)</f>
        <v>1502.95</v>
      </c>
    </row>
    <row r="578" spans="1:31" s="10" customFormat="1" x14ac:dyDescent="0.2">
      <c r="A578" s="32"/>
      <c r="B578" s="265"/>
      <c r="C578" s="266"/>
      <c r="D578" s="33"/>
      <c r="E578" s="267"/>
      <c r="F578" s="267"/>
      <c r="G578" s="267"/>
      <c r="H578" s="267"/>
      <c r="I578" s="267"/>
    </row>
    <row r="579" spans="1:31" s="31" customFormat="1" ht="33.75" x14ac:dyDescent="0.2">
      <c r="A579" s="268" t="s">
        <v>34</v>
      </c>
      <c r="B579" s="269" t="s">
        <v>59</v>
      </c>
      <c r="C579" s="270" t="s">
        <v>261</v>
      </c>
      <c r="D579" s="271" t="s">
        <v>112</v>
      </c>
      <c r="E579" s="19" t="s">
        <v>350</v>
      </c>
      <c r="F579" s="272"/>
      <c r="G579" s="19"/>
      <c r="H579" s="19"/>
      <c r="I579" s="19"/>
      <c r="K579" s="31" t="s">
        <v>472</v>
      </c>
      <c r="AE579" s="31" t="s">
        <v>142</v>
      </c>
    </row>
    <row r="580" spans="1:31" s="30" customFormat="1" x14ac:dyDescent="0.2">
      <c r="A580" s="32"/>
      <c r="B580" s="265"/>
      <c r="C580" s="273" t="s">
        <v>247</v>
      </c>
      <c r="D580" s="273"/>
      <c r="E580" s="36">
        <v>2</v>
      </c>
      <c r="F580" s="36"/>
      <c r="G580" s="36">
        <v>0.9</v>
      </c>
      <c r="H580" s="36">
        <v>2.1</v>
      </c>
      <c r="I580" s="36">
        <f t="shared" ref="I580:I586" si="12">ROUND(PRODUCT(E580:H580),2)</f>
        <v>3.78</v>
      </c>
      <c r="J580" s="10"/>
      <c r="L580" s="10"/>
    </row>
    <row r="581" spans="1:31" s="30" customFormat="1" x14ac:dyDescent="0.2">
      <c r="A581" s="32"/>
      <c r="B581" s="265"/>
      <c r="C581" s="273" t="s">
        <v>291</v>
      </c>
      <c r="D581" s="44"/>
      <c r="E581" s="36">
        <v>2</v>
      </c>
      <c r="F581" s="36"/>
      <c r="G581" s="36">
        <v>0.9</v>
      </c>
      <c r="H581" s="36">
        <v>2.1</v>
      </c>
      <c r="I581" s="36">
        <f t="shared" si="12"/>
        <v>3.78</v>
      </c>
      <c r="J581" s="10"/>
      <c r="L581" s="10"/>
    </row>
    <row r="582" spans="1:31" s="30" customFormat="1" x14ac:dyDescent="0.2">
      <c r="A582" s="32"/>
      <c r="B582" s="265"/>
      <c r="C582" s="273" t="s">
        <v>292</v>
      </c>
      <c r="D582" s="44"/>
      <c r="E582" s="36">
        <v>2</v>
      </c>
      <c r="F582" s="36"/>
      <c r="G582" s="36">
        <v>0.9</v>
      </c>
      <c r="H582" s="36">
        <v>2.1</v>
      </c>
      <c r="I582" s="36">
        <f t="shared" si="12"/>
        <v>3.78</v>
      </c>
      <c r="J582" s="10"/>
      <c r="L582" s="10"/>
    </row>
    <row r="583" spans="1:31" s="30" customFormat="1" x14ac:dyDescent="0.2">
      <c r="A583" s="32"/>
      <c r="B583" s="265"/>
      <c r="C583" s="273" t="s">
        <v>293</v>
      </c>
      <c r="D583" s="44"/>
      <c r="E583" s="36">
        <v>2</v>
      </c>
      <c r="F583" s="36"/>
      <c r="G583" s="36">
        <v>0.9</v>
      </c>
      <c r="H583" s="36">
        <v>2.1</v>
      </c>
      <c r="I583" s="36">
        <f t="shared" si="12"/>
        <v>3.78</v>
      </c>
      <c r="J583" s="10"/>
      <c r="L583" s="10"/>
    </row>
    <row r="584" spans="1:31" s="30" customFormat="1" x14ac:dyDescent="0.2">
      <c r="A584" s="32"/>
      <c r="B584" s="265"/>
      <c r="C584" s="273" t="s">
        <v>294</v>
      </c>
      <c r="D584" s="44"/>
      <c r="E584" s="36">
        <v>2</v>
      </c>
      <c r="F584" s="36"/>
      <c r="G584" s="36">
        <v>0.9</v>
      </c>
      <c r="H584" s="36">
        <v>2.1</v>
      </c>
      <c r="I584" s="36">
        <f t="shared" si="12"/>
        <v>3.78</v>
      </c>
      <c r="J584" s="10"/>
      <c r="L584" s="10"/>
    </row>
    <row r="585" spans="1:31" s="30" customFormat="1" x14ac:dyDescent="0.2">
      <c r="A585" s="32"/>
      <c r="B585" s="265"/>
      <c r="C585" s="273" t="s">
        <v>295</v>
      </c>
      <c r="D585" s="44"/>
      <c r="E585" s="36">
        <v>2</v>
      </c>
      <c r="F585" s="36"/>
      <c r="G585" s="36">
        <v>0.9</v>
      </c>
      <c r="H585" s="36">
        <v>2.1</v>
      </c>
      <c r="I585" s="36">
        <f t="shared" si="12"/>
        <v>3.78</v>
      </c>
      <c r="J585" s="10"/>
      <c r="L585" s="10"/>
    </row>
    <row r="586" spans="1:31" s="30" customFormat="1" x14ac:dyDescent="0.2">
      <c r="A586" s="32"/>
      <c r="B586" s="265"/>
      <c r="C586" s="273" t="s">
        <v>289</v>
      </c>
      <c r="D586" s="44"/>
      <c r="E586" s="36">
        <v>2</v>
      </c>
      <c r="F586" s="36"/>
      <c r="G586" s="36">
        <v>0.9</v>
      </c>
      <c r="H586" s="36">
        <v>2.1</v>
      </c>
      <c r="I586" s="36">
        <f t="shared" si="12"/>
        <v>3.78</v>
      </c>
      <c r="J586" s="10"/>
      <c r="L586" s="10"/>
    </row>
    <row r="587" spans="1:31" s="10" customFormat="1" x14ac:dyDescent="0.2">
      <c r="A587" s="32"/>
      <c r="B587" s="265"/>
      <c r="C587" s="273" t="s">
        <v>789</v>
      </c>
      <c r="D587" s="44"/>
      <c r="E587" s="36">
        <v>2</v>
      </c>
      <c r="F587" s="36"/>
      <c r="G587" s="36">
        <v>0.9</v>
      </c>
      <c r="H587" s="36">
        <v>2.1</v>
      </c>
      <c r="I587" s="36">
        <f>ROUND(PRODUCT(E587:H587),2)</f>
        <v>3.78</v>
      </c>
      <c r="K587" s="299"/>
      <c r="L587" s="300">
        <v>0.8</v>
      </c>
      <c r="M587" s="300">
        <v>0.8</v>
      </c>
      <c r="N587" s="300">
        <v>0.2</v>
      </c>
      <c r="O587" s="300">
        <v>0.3</v>
      </c>
      <c r="P587" s="300">
        <v>0.15</v>
      </c>
      <c r="Q587" s="300">
        <v>0.25</v>
      </c>
      <c r="R587" s="300">
        <v>1.5</v>
      </c>
    </row>
    <row r="588" spans="1:31" s="10" customFormat="1" x14ac:dyDescent="0.2">
      <c r="A588" s="32"/>
      <c r="B588" s="265"/>
      <c r="C588" s="273" t="s">
        <v>296</v>
      </c>
      <c r="D588" s="44"/>
      <c r="E588" s="36">
        <v>2</v>
      </c>
      <c r="F588" s="36"/>
      <c r="G588" s="36">
        <v>0.9</v>
      </c>
      <c r="H588" s="36">
        <v>2.1</v>
      </c>
      <c r="I588" s="36">
        <f>ROUND((PRODUCT(E588:H588)),2)</f>
        <v>3.78</v>
      </c>
    </row>
    <row r="589" spans="1:31" s="10" customFormat="1" x14ac:dyDescent="0.2">
      <c r="A589" s="32"/>
      <c r="B589" s="265"/>
      <c r="C589" s="273" t="s">
        <v>297</v>
      </c>
      <c r="D589" s="44"/>
      <c r="E589" s="36">
        <v>2</v>
      </c>
      <c r="F589" s="36"/>
      <c r="G589" s="36">
        <v>0.9</v>
      </c>
      <c r="H589" s="36">
        <v>2.1</v>
      </c>
      <c r="I589" s="36">
        <f>ROUND((PRODUCT(E589:H589)),2)</f>
        <v>3.78</v>
      </c>
    </row>
    <row r="590" spans="1:31" s="10" customFormat="1" x14ac:dyDescent="0.2">
      <c r="A590" s="32"/>
      <c r="B590" s="265"/>
      <c r="C590" s="273" t="s">
        <v>296</v>
      </c>
      <c r="D590" s="44"/>
      <c r="E590" s="36">
        <v>12</v>
      </c>
      <c r="F590" s="36"/>
      <c r="G590" s="36">
        <v>0.6</v>
      </c>
      <c r="H590" s="36">
        <v>2.1</v>
      </c>
      <c r="I590" s="36">
        <f>ROUND((PRODUCT(E590:H590)),2)</f>
        <v>15.12</v>
      </c>
    </row>
    <row r="591" spans="1:31" s="10" customFormat="1" x14ac:dyDescent="0.2">
      <c r="A591" s="32"/>
      <c r="B591" s="265"/>
      <c r="C591" s="273" t="s">
        <v>297</v>
      </c>
      <c r="D591" s="44"/>
      <c r="E591" s="36">
        <v>12</v>
      </c>
      <c r="F591" s="36"/>
      <c r="G591" s="36">
        <v>0.6</v>
      </c>
      <c r="H591" s="36">
        <v>2.1</v>
      </c>
      <c r="I591" s="36">
        <f>ROUND((PRODUCT(E591:H591)),2)</f>
        <v>15.12</v>
      </c>
    </row>
    <row r="592" spans="1:31" s="30" customFormat="1" x14ac:dyDescent="0.2">
      <c r="A592" s="32"/>
      <c r="B592" s="265"/>
      <c r="C592" s="273" t="s">
        <v>797</v>
      </c>
      <c r="D592" s="44"/>
      <c r="E592" s="36">
        <f>2*12</f>
        <v>24</v>
      </c>
      <c r="F592" s="36"/>
      <c r="G592" s="36">
        <v>3</v>
      </c>
      <c r="H592" s="36">
        <v>1.5</v>
      </c>
      <c r="I592" s="36">
        <f>ROUND((PRODUCT(E592:H592)),2)</f>
        <v>108</v>
      </c>
      <c r="J592" s="10"/>
      <c r="L592" s="10"/>
    </row>
    <row r="593" spans="1:31" s="10" customFormat="1" x14ac:dyDescent="0.2">
      <c r="A593" s="32"/>
      <c r="B593" s="265"/>
      <c r="C593" s="45" t="str">
        <f>"Total item "&amp;A579</f>
        <v>Total item 10.3</v>
      </c>
      <c r="D593" s="44"/>
      <c r="E593" s="36"/>
      <c r="F593" s="36"/>
      <c r="G593" s="36"/>
      <c r="H593" s="36"/>
      <c r="I593" s="19">
        <f>SUM(I580:I592)</f>
        <v>176.04000000000002</v>
      </c>
    </row>
    <row r="594" spans="1:31" s="10" customFormat="1" x14ac:dyDescent="0.2">
      <c r="A594" s="32"/>
      <c r="B594" s="265"/>
      <c r="C594" s="266"/>
      <c r="D594" s="33"/>
      <c r="E594" s="267"/>
      <c r="F594" s="267"/>
      <c r="G594" s="267"/>
      <c r="H594" s="267"/>
      <c r="I594" s="267"/>
    </row>
    <row r="595" spans="1:31" s="263" customFormat="1" ht="10.5" customHeight="1" x14ac:dyDescent="0.2">
      <c r="A595" s="252" t="s">
        <v>224</v>
      </c>
      <c r="B595" s="253"/>
      <c r="C595" s="254" t="s">
        <v>46</v>
      </c>
      <c r="D595" s="255"/>
      <c r="E595" s="256"/>
      <c r="F595" s="256"/>
      <c r="G595" s="256"/>
      <c r="H595" s="256"/>
      <c r="I595" s="256"/>
      <c r="J595" s="261" t="s">
        <v>110</v>
      </c>
      <c r="K595" s="262" t="s">
        <v>160</v>
      </c>
      <c r="AE595" s="264"/>
    </row>
    <row r="596" spans="1:31" s="10" customFormat="1" x14ac:dyDescent="0.2">
      <c r="A596" s="32"/>
      <c r="B596" s="265"/>
      <c r="C596" s="266"/>
      <c r="D596" s="33"/>
      <c r="E596" s="267"/>
      <c r="F596" s="267"/>
      <c r="G596" s="267"/>
      <c r="H596" s="267"/>
      <c r="I596" s="267"/>
    </row>
    <row r="597" spans="1:31" s="10" customFormat="1" ht="45" x14ac:dyDescent="0.2">
      <c r="A597" s="268" t="s">
        <v>35</v>
      </c>
      <c r="B597" s="269" t="s">
        <v>246</v>
      </c>
      <c r="C597" s="270" t="s">
        <v>264</v>
      </c>
      <c r="D597" s="271" t="s">
        <v>115</v>
      </c>
      <c r="E597" s="19"/>
      <c r="F597" s="272"/>
      <c r="G597" s="272"/>
      <c r="H597" s="19"/>
      <c r="I597" s="19"/>
      <c r="J597" s="31"/>
      <c r="L597" s="31"/>
      <c r="AE597" s="31" t="s">
        <v>143</v>
      </c>
    </row>
    <row r="598" spans="1:31" s="30" customFormat="1" x14ac:dyDescent="0.2">
      <c r="A598" s="32"/>
      <c r="B598" s="265"/>
      <c r="C598" s="273" t="s">
        <v>247</v>
      </c>
      <c r="D598" s="273"/>
      <c r="E598" s="273"/>
      <c r="F598" s="36">
        <v>12</v>
      </c>
      <c r="G598" s="36"/>
      <c r="H598" s="36"/>
      <c r="I598" s="36">
        <f t="shared" ref="I598:I606" si="13">ROUND(PRODUCT(E598:H598),2)</f>
        <v>12</v>
      </c>
      <c r="J598" s="10"/>
      <c r="L598" s="10"/>
    </row>
    <row r="599" spans="1:31" s="30" customFormat="1" x14ac:dyDescent="0.2">
      <c r="A599" s="32"/>
      <c r="B599" s="265"/>
      <c r="C599" s="273" t="s">
        <v>291</v>
      </c>
      <c r="D599" s="44"/>
      <c r="E599" s="36"/>
      <c r="F599" s="36">
        <v>12</v>
      </c>
      <c r="G599" s="36"/>
      <c r="H599" s="36"/>
      <c r="I599" s="36">
        <f t="shared" si="13"/>
        <v>12</v>
      </c>
      <c r="J599" s="10"/>
      <c r="L599" s="10"/>
    </row>
    <row r="600" spans="1:31" s="30" customFormat="1" x14ac:dyDescent="0.2">
      <c r="A600" s="32"/>
      <c r="B600" s="265"/>
      <c r="C600" s="273" t="s">
        <v>292</v>
      </c>
      <c r="D600" s="44"/>
      <c r="E600" s="36"/>
      <c r="F600" s="36">
        <v>12</v>
      </c>
      <c r="G600" s="36"/>
      <c r="H600" s="36"/>
      <c r="I600" s="36">
        <f t="shared" si="13"/>
        <v>12</v>
      </c>
      <c r="J600" s="10"/>
      <c r="L600" s="10"/>
    </row>
    <row r="601" spans="1:31" s="30" customFormat="1" x14ac:dyDescent="0.2">
      <c r="A601" s="32"/>
      <c r="B601" s="265"/>
      <c r="C601" s="273" t="s">
        <v>293</v>
      </c>
      <c r="D601" s="44"/>
      <c r="E601" s="36"/>
      <c r="F601" s="36">
        <v>12</v>
      </c>
      <c r="G601" s="36"/>
      <c r="H601" s="36"/>
      <c r="I601" s="36">
        <f t="shared" si="13"/>
        <v>12</v>
      </c>
      <c r="J601" s="10"/>
      <c r="L601" s="10"/>
    </row>
    <row r="602" spans="1:31" s="30" customFormat="1" x14ac:dyDescent="0.2">
      <c r="A602" s="32"/>
      <c r="B602" s="265"/>
      <c r="C602" s="273" t="s">
        <v>294</v>
      </c>
      <c r="D602" s="44"/>
      <c r="E602" s="36"/>
      <c r="F602" s="36">
        <v>12</v>
      </c>
      <c r="G602" s="36"/>
      <c r="H602" s="36"/>
      <c r="I602" s="36">
        <f t="shared" si="13"/>
        <v>12</v>
      </c>
      <c r="J602" s="10"/>
      <c r="L602" s="10"/>
    </row>
    <row r="603" spans="1:31" s="30" customFormat="1" x14ac:dyDescent="0.2">
      <c r="A603" s="32"/>
      <c r="B603" s="265"/>
      <c r="C603" s="273" t="s">
        <v>295</v>
      </c>
      <c r="D603" s="44"/>
      <c r="E603" s="36"/>
      <c r="F603" s="36">
        <v>12</v>
      </c>
      <c r="G603" s="36"/>
      <c r="H603" s="36"/>
      <c r="I603" s="36">
        <f t="shared" si="13"/>
        <v>12</v>
      </c>
      <c r="J603" s="10"/>
      <c r="L603" s="10"/>
    </row>
    <row r="604" spans="1:31" s="10" customFormat="1" x14ac:dyDescent="0.2">
      <c r="A604" s="32"/>
      <c r="B604" s="265"/>
      <c r="C604" s="273" t="s">
        <v>789</v>
      </c>
      <c r="D604" s="44"/>
      <c r="E604" s="36"/>
      <c r="F604" s="36">
        <v>3</v>
      </c>
      <c r="G604" s="36"/>
      <c r="H604" s="36"/>
      <c r="I604" s="36">
        <f>ROUND(PRODUCT(E604:H604),2)</f>
        <v>3</v>
      </c>
      <c r="K604" s="299"/>
      <c r="L604" s="300">
        <v>0.8</v>
      </c>
      <c r="M604" s="300">
        <v>0.8</v>
      </c>
      <c r="N604" s="300">
        <v>0.2</v>
      </c>
      <c r="O604" s="300">
        <v>0.3</v>
      </c>
      <c r="P604" s="300">
        <v>0.15</v>
      </c>
      <c r="Q604" s="300">
        <v>0.25</v>
      </c>
      <c r="R604" s="300">
        <v>1.5</v>
      </c>
    </row>
    <row r="605" spans="1:31" s="30" customFormat="1" x14ac:dyDescent="0.2">
      <c r="A605" s="32"/>
      <c r="B605" s="265"/>
      <c r="C605" s="273" t="s">
        <v>407</v>
      </c>
      <c r="D605" s="44"/>
      <c r="E605" s="36"/>
      <c r="F605" s="36">
        <v>8</v>
      </c>
      <c r="G605" s="36"/>
      <c r="H605" s="36"/>
      <c r="I605" s="36">
        <f t="shared" si="13"/>
        <v>8</v>
      </c>
      <c r="J605" s="10"/>
      <c r="L605" s="10"/>
    </row>
    <row r="606" spans="1:31" s="30" customFormat="1" x14ac:dyDescent="0.2">
      <c r="A606" s="32"/>
      <c r="B606" s="265"/>
      <c r="C606" s="273" t="s">
        <v>289</v>
      </c>
      <c r="D606" s="44"/>
      <c r="E606" s="36"/>
      <c r="F606" s="36">
        <v>1</v>
      </c>
      <c r="G606" s="36"/>
      <c r="H606" s="36"/>
      <c r="I606" s="36">
        <f t="shared" si="13"/>
        <v>1</v>
      </c>
      <c r="J606" s="10"/>
      <c r="L606" s="10"/>
    </row>
    <row r="607" spans="1:31" s="10" customFormat="1" x14ac:dyDescent="0.2">
      <c r="A607" s="32"/>
      <c r="B607" s="265"/>
      <c r="C607" s="273" t="s">
        <v>408</v>
      </c>
      <c r="D607" s="44"/>
      <c r="E607" s="36"/>
      <c r="F607" s="36">
        <v>3</v>
      </c>
      <c r="G607" s="36"/>
      <c r="H607" s="36"/>
      <c r="I607" s="36">
        <f>ROUND((PRODUCT(E607:H607)),2)</f>
        <v>3</v>
      </c>
    </row>
    <row r="608" spans="1:31" s="10" customFormat="1" x14ac:dyDescent="0.2">
      <c r="A608" s="32"/>
      <c r="B608" s="265"/>
      <c r="C608" s="273" t="s">
        <v>409</v>
      </c>
      <c r="D608" s="44"/>
      <c r="E608" s="36"/>
      <c r="F608" s="36">
        <v>3</v>
      </c>
      <c r="G608" s="36"/>
      <c r="H608" s="36"/>
      <c r="I608" s="36">
        <f>ROUND((PRODUCT(E608:H608)),2)</f>
        <v>3</v>
      </c>
    </row>
    <row r="609" spans="1:31" s="10" customFormat="1" x14ac:dyDescent="0.2">
      <c r="A609" s="32"/>
      <c r="B609" s="265"/>
      <c r="C609" s="273" t="s">
        <v>410</v>
      </c>
      <c r="D609" s="44"/>
      <c r="E609" s="36"/>
      <c r="F609" s="36">
        <v>4</v>
      </c>
      <c r="G609" s="36"/>
      <c r="H609" s="36"/>
      <c r="I609" s="36">
        <f>ROUND((PRODUCT(E609:H609)),2)</f>
        <v>4</v>
      </c>
    </row>
    <row r="610" spans="1:31" s="10" customFormat="1" x14ac:dyDescent="0.2">
      <c r="A610" s="32"/>
      <c r="B610" s="265"/>
      <c r="C610" s="273"/>
      <c r="D610" s="44"/>
      <c r="E610" s="36"/>
      <c r="F610" s="36" t="s">
        <v>201</v>
      </c>
      <c r="G610" s="36"/>
      <c r="H610" s="36"/>
      <c r="I610" s="36"/>
    </row>
    <row r="611" spans="1:31" s="10" customFormat="1" x14ac:dyDescent="0.2">
      <c r="A611" s="32"/>
      <c r="B611" s="265"/>
      <c r="C611" s="273" t="s">
        <v>858</v>
      </c>
      <c r="D611" s="44"/>
      <c r="E611" s="36">
        <v>-1</v>
      </c>
      <c r="F611" s="36">
        <v>32</v>
      </c>
      <c r="G611" s="36"/>
      <c r="H611" s="36"/>
      <c r="I611" s="36">
        <f>ROUND(PRODUCT(E611:H611),2)</f>
        <v>-32</v>
      </c>
    </row>
    <row r="612" spans="1:31" s="10" customFormat="1" x14ac:dyDescent="0.2">
      <c r="A612" s="32"/>
      <c r="B612" s="265"/>
      <c r="C612" s="45" t="str">
        <f>"Total item "&amp;A597</f>
        <v>Total item 11.1</v>
      </c>
      <c r="D612" s="44"/>
      <c r="E612" s="36"/>
      <c r="F612" s="36"/>
      <c r="G612" s="36"/>
      <c r="H612" s="36"/>
      <c r="I612" s="19">
        <f>SUM(I598:I611)</f>
        <v>62</v>
      </c>
    </row>
    <row r="613" spans="1:31" s="10" customFormat="1" x14ac:dyDescent="0.2">
      <c r="A613" s="32"/>
      <c r="B613" s="265"/>
      <c r="C613" s="266"/>
      <c r="D613" s="33"/>
      <c r="E613" s="267"/>
      <c r="F613" s="267"/>
      <c r="G613" s="267"/>
      <c r="H613" s="267"/>
      <c r="I613" s="267"/>
    </row>
    <row r="614" spans="1:31" s="10" customFormat="1" ht="56.25" x14ac:dyDescent="0.2">
      <c r="A614" s="268" t="s">
        <v>36</v>
      </c>
      <c r="B614" s="269" t="s">
        <v>246</v>
      </c>
      <c r="C614" s="270" t="s">
        <v>267</v>
      </c>
      <c r="D614" s="271" t="s">
        <v>115</v>
      </c>
      <c r="E614" s="19"/>
      <c r="F614" s="272"/>
      <c r="G614" s="272"/>
      <c r="H614" s="19"/>
      <c r="I614" s="19"/>
      <c r="J614" s="31"/>
      <c r="L614" s="31"/>
      <c r="AE614" s="31" t="s">
        <v>144</v>
      </c>
    </row>
    <row r="615" spans="1:31" s="30" customFormat="1" x14ac:dyDescent="0.2">
      <c r="A615" s="32"/>
      <c r="B615" s="265"/>
      <c r="C615" s="273" t="s">
        <v>407</v>
      </c>
      <c r="D615" s="44"/>
      <c r="E615" s="36"/>
      <c r="F615" s="36">
        <v>1</v>
      </c>
      <c r="G615" s="36"/>
      <c r="H615" s="36"/>
      <c r="I615" s="36">
        <f t="shared" ref="I615:I620" si="14">ROUND(PRODUCT(E615:H615),2)</f>
        <v>1</v>
      </c>
      <c r="J615" s="10"/>
      <c r="L615" s="10"/>
    </row>
    <row r="616" spans="1:31" s="10" customFormat="1" x14ac:dyDescent="0.2">
      <c r="A616" s="32"/>
      <c r="B616" s="265"/>
      <c r="C616" s="273" t="s">
        <v>789</v>
      </c>
      <c r="D616" s="44"/>
      <c r="E616" s="36"/>
      <c r="F616" s="36">
        <v>1</v>
      </c>
      <c r="G616" s="36"/>
      <c r="H616" s="36"/>
      <c r="I616" s="36">
        <f>ROUND(PRODUCT(E616:H616),2)</f>
        <v>1</v>
      </c>
      <c r="K616" s="299"/>
      <c r="L616" s="300">
        <v>0.8</v>
      </c>
      <c r="M616" s="300">
        <v>0.8</v>
      </c>
      <c r="N616" s="300">
        <v>0.2</v>
      </c>
      <c r="O616" s="300">
        <v>0.3</v>
      </c>
      <c r="P616" s="300">
        <v>0.15</v>
      </c>
      <c r="Q616" s="300">
        <v>0.25</v>
      </c>
      <c r="R616" s="300">
        <v>1.5</v>
      </c>
    </row>
    <row r="617" spans="1:31" s="30" customFormat="1" x14ac:dyDescent="0.2">
      <c r="A617" s="32"/>
      <c r="B617" s="265"/>
      <c r="C617" s="273" t="s">
        <v>289</v>
      </c>
      <c r="D617" s="44"/>
      <c r="E617" s="36"/>
      <c r="F617" s="36">
        <v>1</v>
      </c>
      <c r="G617" s="36"/>
      <c r="H617" s="36"/>
      <c r="I617" s="36">
        <f t="shared" si="14"/>
        <v>1</v>
      </c>
      <c r="J617" s="10"/>
      <c r="L617" s="10"/>
    </row>
    <row r="618" spans="1:31" s="30" customFormat="1" x14ac:dyDescent="0.2">
      <c r="A618" s="32"/>
      <c r="B618" s="265"/>
      <c r="C618" s="273" t="s">
        <v>408</v>
      </c>
      <c r="D618" s="44"/>
      <c r="E618" s="36"/>
      <c r="F618" s="36">
        <v>2</v>
      </c>
      <c r="G618" s="36"/>
      <c r="H618" s="36"/>
      <c r="I618" s="36">
        <f t="shared" si="14"/>
        <v>2</v>
      </c>
      <c r="J618" s="10"/>
      <c r="L618" s="10"/>
    </row>
    <row r="619" spans="1:31" s="30" customFormat="1" x14ac:dyDescent="0.2">
      <c r="A619" s="32"/>
      <c r="B619" s="265"/>
      <c r="C619" s="273" t="s">
        <v>409</v>
      </c>
      <c r="D619" s="44"/>
      <c r="E619" s="36"/>
      <c r="F619" s="36">
        <v>2</v>
      </c>
      <c r="G619" s="36"/>
      <c r="H619" s="36"/>
      <c r="I619" s="36">
        <f t="shared" si="14"/>
        <v>2</v>
      </c>
      <c r="J619" s="10"/>
      <c r="L619" s="10"/>
    </row>
    <row r="620" spans="1:31" s="30" customFormat="1" x14ac:dyDescent="0.2">
      <c r="A620" s="32"/>
      <c r="B620" s="265"/>
      <c r="C620" s="273" t="s">
        <v>410</v>
      </c>
      <c r="D620" s="44"/>
      <c r="E620" s="36"/>
      <c r="F620" s="36">
        <v>1</v>
      </c>
      <c r="G620" s="36"/>
      <c r="H620" s="36"/>
      <c r="I620" s="36">
        <f t="shared" si="14"/>
        <v>1</v>
      </c>
      <c r="J620" s="10"/>
      <c r="L620" s="10"/>
    </row>
    <row r="621" spans="1:31" s="30" customFormat="1" x14ac:dyDescent="0.2">
      <c r="A621" s="32"/>
      <c r="B621" s="265"/>
      <c r="C621" s="273"/>
      <c r="D621" s="44"/>
      <c r="E621" s="36"/>
      <c r="F621" s="36" t="s">
        <v>201</v>
      </c>
      <c r="G621" s="36"/>
      <c r="H621" s="36"/>
      <c r="I621" s="36"/>
      <c r="J621" s="10"/>
      <c r="L621" s="10"/>
    </row>
    <row r="622" spans="1:31" s="30" customFormat="1" x14ac:dyDescent="0.2">
      <c r="A622" s="32"/>
      <c r="B622" s="265"/>
      <c r="C622" s="273" t="s">
        <v>858</v>
      </c>
      <c r="D622" s="44"/>
      <c r="E622" s="36">
        <v>-1</v>
      </c>
      <c r="F622" s="36">
        <v>1</v>
      </c>
      <c r="G622" s="36"/>
      <c r="H622" s="36"/>
      <c r="I622" s="36">
        <f>ROUND(PRODUCT(E622:H622),2)</f>
        <v>-1</v>
      </c>
      <c r="J622" s="10"/>
      <c r="L622" s="10"/>
    </row>
    <row r="623" spans="1:31" s="10" customFormat="1" x14ac:dyDescent="0.2">
      <c r="A623" s="32"/>
      <c r="B623" s="265"/>
      <c r="C623" s="45" t="str">
        <f>"Total item "&amp;A614</f>
        <v>Total item 11.2</v>
      </c>
      <c r="D623" s="44"/>
      <c r="E623" s="36"/>
      <c r="F623" s="36"/>
      <c r="G623" s="36"/>
      <c r="H623" s="36"/>
      <c r="I623" s="19">
        <f>SUM(I615:I622)</f>
        <v>7</v>
      </c>
    </row>
    <row r="624" spans="1:31" s="10" customFormat="1" x14ac:dyDescent="0.2">
      <c r="A624" s="32"/>
      <c r="B624" s="265"/>
      <c r="C624" s="266"/>
      <c r="D624" s="33"/>
      <c r="E624" s="267"/>
      <c r="F624" s="267"/>
      <c r="G624" s="267"/>
      <c r="H624" s="267"/>
      <c r="I624" s="267"/>
    </row>
    <row r="625" spans="1:31" s="10" customFormat="1" ht="56.25" x14ac:dyDescent="0.2">
      <c r="A625" s="268" t="s">
        <v>277</v>
      </c>
      <c r="B625" s="269" t="s">
        <v>246</v>
      </c>
      <c r="C625" s="270" t="s">
        <v>340</v>
      </c>
      <c r="D625" s="271" t="s">
        <v>115</v>
      </c>
      <c r="E625" s="19"/>
      <c r="F625" s="272"/>
      <c r="G625" s="272"/>
      <c r="H625" s="19"/>
      <c r="I625" s="19"/>
      <c r="J625" s="31"/>
      <c r="L625" s="31"/>
      <c r="AE625" s="31" t="s">
        <v>144</v>
      </c>
    </row>
    <row r="626" spans="1:31" s="30" customFormat="1" x14ac:dyDescent="0.2">
      <c r="A626" s="32"/>
      <c r="B626" s="265"/>
      <c r="C626" s="273" t="s">
        <v>247</v>
      </c>
      <c r="D626" s="273"/>
      <c r="E626" s="273"/>
      <c r="F626" s="36">
        <v>1</v>
      </c>
      <c r="G626" s="36"/>
      <c r="H626" s="36"/>
      <c r="I626" s="36">
        <f t="shared" ref="I626:I631" si="15">ROUND(PRODUCT(E626:H626),2)</f>
        <v>1</v>
      </c>
      <c r="J626" s="10"/>
      <c r="L626" s="10"/>
    </row>
    <row r="627" spans="1:31" s="30" customFormat="1" x14ac:dyDescent="0.2">
      <c r="A627" s="32"/>
      <c r="B627" s="265"/>
      <c r="C627" s="273" t="s">
        <v>291</v>
      </c>
      <c r="D627" s="44"/>
      <c r="E627" s="36"/>
      <c r="F627" s="36">
        <v>1</v>
      </c>
      <c r="G627" s="36"/>
      <c r="H627" s="36"/>
      <c r="I627" s="36">
        <f t="shared" si="15"/>
        <v>1</v>
      </c>
      <c r="J627" s="10"/>
      <c r="L627" s="10"/>
    </row>
    <row r="628" spans="1:31" s="30" customFormat="1" x14ac:dyDescent="0.2">
      <c r="A628" s="32"/>
      <c r="B628" s="265"/>
      <c r="C628" s="273" t="s">
        <v>292</v>
      </c>
      <c r="D628" s="44"/>
      <c r="E628" s="36"/>
      <c r="F628" s="36">
        <v>1</v>
      </c>
      <c r="G628" s="36"/>
      <c r="H628" s="36"/>
      <c r="I628" s="36">
        <f t="shared" si="15"/>
        <v>1</v>
      </c>
      <c r="J628" s="10"/>
      <c r="L628" s="10"/>
    </row>
    <row r="629" spans="1:31" s="30" customFormat="1" x14ac:dyDescent="0.2">
      <c r="A629" s="32"/>
      <c r="B629" s="265"/>
      <c r="C629" s="273" t="s">
        <v>293</v>
      </c>
      <c r="D629" s="44"/>
      <c r="E629" s="36"/>
      <c r="F629" s="36">
        <v>1</v>
      </c>
      <c r="G629" s="36"/>
      <c r="H629" s="36"/>
      <c r="I629" s="36">
        <f t="shared" si="15"/>
        <v>1</v>
      </c>
      <c r="J629" s="10"/>
      <c r="L629" s="10"/>
    </row>
    <row r="630" spans="1:31" s="30" customFormat="1" x14ac:dyDescent="0.2">
      <c r="A630" s="32"/>
      <c r="B630" s="265"/>
      <c r="C630" s="273" t="s">
        <v>294</v>
      </c>
      <c r="D630" s="44"/>
      <c r="E630" s="36"/>
      <c r="F630" s="36">
        <v>1</v>
      </c>
      <c r="G630" s="36"/>
      <c r="H630" s="36"/>
      <c r="I630" s="36">
        <f t="shared" si="15"/>
        <v>1</v>
      </c>
      <c r="J630" s="10"/>
      <c r="L630" s="10"/>
    </row>
    <row r="631" spans="1:31" s="30" customFormat="1" x14ac:dyDescent="0.2">
      <c r="A631" s="32"/>
      <c r="B631" s="265"/>
      <c r="C631" s="273" t="s">
        <v>295</v>
      </c>
      <c r="D631" s="44"/>
      <c r="E631" s="36"/>
      <c r="F631" s="36">
        <v>1</v>
      </c>
      <c r="G631" s="36"/>
      <c r="H631" s="36"/>
      <c r="I631" s="36">
        <f t="shared" si="15"/>
        <v>1</v>
      </c>
      <c r="J631" s="10"/>
      <c r="L631" s="10"/>
    </row>
    <row r="632" spans="1:31" s="10" customFormat="1" x14ac:dyDescent="0.2">
      <c r="A632" s="32"/>
      <c r="B632" s="265"/>
      <c r="C632" s="45" t="str">
        <f>"Total item "&amp;A625</f>
        <v>Total item 11.3</v>
      </c>
      <c r="D632" s="44"/>
      <c r="E632" s="36"/>
      <c r="F632" s="36"/>
      <c r="G632" s="36"/>
      <c r="H632" s="36"/>
      <c r="I632" s="19">
        <f>SUM(I626:I631)</f>
        <v>6</v>
      </c>
    </row>
    <row r="633" spans="1:31" s="10" customFormat="1" x14ac:dyDescent="0.2">
      <c r="A633" s="32"/>
      <c r="B633" s="265"/>
      <c r="C633" s="266"/>
      <c r="D633" s="33"/>
      <c r="E633" s="267"/>
      <c r="F633" s="267"/>
      <c r="G633" s="267"/>
      <c r="H633" s="267"/>
      <c r="I633" s="267"/>
    </row>
    <row r="634" spans="1:31" s="10" customFormat="1" ht="67.5" x14ac:dyDescent="0.2">
      <c r="A634" s="268" t="s">
        <v>278</v>
      </c>
      <c r="B634" s="269" t="s">
        <v>246</v>
      </c>
      <c r="C634" s="270" t="str">
        <f>COMPOSIÇÕES!A89</f>
        <v>COMPOSIÇÃO PARAMÉTRICA DE PONTO ELÉTRICO DE TOMADA DE USO GERAL 2P+T (10A/250V) EM EDIFÍCIO RESIDENCIAL COM ELETRODUTO EMBUTIDO EM RASGOS NAS PAREDES, INCLUSO TOMADA, ELETRODUTO, CABO, RASGO, QUEBRA E CHUMBAMENTO. AF_11/2022</v>
      </c>
      <c r="D634" s="271" t="s">
        <v>115</v>
      </c>
      <c r="E634" s="19"/>
      <c r="F634" s="272"/>
      <c r="G634" s="272"/>
      <c r="H634" s="19"/>
      <c r="I634" s="19"/>
      <c r="J634" s="31"/>
      <c r="L634" s="31"/>
      <c r="AE634" s="31" t="s">
        <v>143</v>
      </c>
    </row>
    <row r="635" spans="1:31" s="30" customFormat="1" x14ac:dyDescent="0.2">
      <c r="A635" s="32"/>
      <c r="B635" s="265"/>
      <c r="C635" s="273" t="s">
        <v>247</v>
      </c>
      <c r="D635" s="273"/>
      <c r="E635" s="273"/>
      <c r="F635" s="36">
        <v>7</v>
      </c>
      <c r="G635" s="36"/>
      <c r="H635" s="36"/>
      <c r="I635" s="36">
        <f t="shared" ref="I635:I643" si="16">ROUND(PRODUCT(E635:H635),2)</f>
        <v>7</v>
      </c>
      <c r="J635" s="10"/>
      <c r="L635" s="10"/>
    </row>
    <row r="636" spans="1:31" s="30" customFormat="1" x14ac:dyDescent="0.2">
      <c r="A636" s="32"/>
      <c r="B636" s="265"/>
      <c r="C636" s="273" t="s">
        <v>291</v>
      </c>
      <c r="D636" s="44"/>
      <c r="E636" s="36"/>
      <c r="F636" s="36">
        <v>7</v>
      </c>
      <c r="G636" s="36"/>
      <c r="H636" s="36"/>
      <c r="I636" s="36">
        <f t="shared" si="16"/>
        <v>7</v>
      </c>
      <c r="J636" s="10"/>
      <c r="L636" s="10"/>
    </row>
    <row r="637" spans="1:31" s="30" customFormat="1" x14ac:dyDescent="0.2">
      <c r="A637" s="32"/>
      <c r="B637" s="265"/>
      <c r="C637" s="273" t="s">
        <v>292</v>
      </c>
      <c r="D637" s="44"/>
      <c r="E637" s="36"/>
      <c r="F637" s="36">
        <v>7</v>
      </c>
      <c r="G637" s="36"/>
      <c r="H637" s="36"/>
      <c r="I637" s="36">
        <f t="shared" si="16"/>
        <v>7</v>
      </c>
      <c r="J637" s="10"/>
      <c r="L637" s="10"/>
    </row>
    <row r="638" spans="1:31" s="30" customFormat="1" x14ac:dyDescent="0.2">
      <c r="A638" s="32"/>
      <c r="B638" s="265"/>
      <c r="C638" s="273" t="s">
        <v>293</v>
      </c>
      <c r="D638" s="44"/>
      <c r="E638" s="36"/>
      <c r="F638" s="36">
        <v>7</v>
      </c>
      <c r="G638" s="36"/>
      <c r="H638" s="36"/>
      <c r="I638" s="36">
        <f t="shared" si="16"/>
        <v>7</v>
      </c>
      <c r="J638" s="10"/>
      <c r="L638" s="10"/>
    </row>
    <row r="639" spans="1:31" s="30" customFormat="1" x14ac:dyDescent="0.2">
      <c r="A639" s="32"/>
      <c r="B639" s="265"/>
      <c r="C639" s="273" t="s">
        <v>294</v>
      </c>
      <c r="D639" s="44"/>
      <c r="E639" s="36"/>
      <c r="F639" s="36">
        <v>7</v>
      </c>
      <c r="G639" s="36"/>
      <c r="H639" s="36"/>
      <c r="I639" s="36">
        <f t="shared" si="16"/>
        <v>7</v>
      </c>
      <c r="J639" s="10"/>
      <c r="L639" s="10"/>
    </row>
    <row r="640" spans="1:31" s="30" customFormat="1" x14ac:dyDescent="0.2">
      <c r="A640" s="32"/>
      <c r="B640" s="265"/>
      <c r="C640" s="273" t="s">
        <v>295</v>
      </c>
      <c r="D640" s="44"/>
      <c r="E640" s="36"/>
      <c r="F640" s="36">
        <v>7</v>
      </c>
      <c r="G640" s="36"/>
      <c r="H640" s="36"/>
      <c r="I640" s="36">
        <f t="shared" si="16"/>
        <v>7</v>
      </c>
      <c r="J640" s="10"/>
      <c r="L640" s="10"/>
    </row>
    <row r="641" spans="1:31" s="10" customFormat="1" x14ac:dyDescent="0.2">
      <c r="A641" s="32"/>
      <c r="B641" s="265"/>
      <c r="C641" s="273" t="s">
        <v>789</v>
      </c>
      <c r="D641" s="44"/>
      <c r="E641" s="36"/>
      <c r="F641" s="36">
        <v>1</v>
      </c>
      <c r="G641" s="36"/>
      <c r="H641" s="36"/>
      <c r="I641" s="36">
        <f>ROUND(PRODUCT(E641:H641),2)</f>
        <v>1</v>
      </c>
      <c r="K641" s="299"/>
      <c r="L641" s="300">
        <v>0.8</v>
      </c>
      <c r="M641" s="300">
        <v>0.8</v>
      </c>
      <c r="N641" s="300">
        <v>0.2</v>
      </c>
      <c r="O641" s="300">
        <v>0.3</v>
      </c>
      <c r="P641" s="300">
        <v>0.15</v>
      </c>
      <c r="Q641" s="300">
        <v>0.25</v>
      </c>
      <c r="R641" s="300">
        <v>1.5</v>
      </c>
    </row>
    <row r="642" spans="1:31" s="30" customFormat="1" x14ac:dyDescent="0.2">
      <c r="A642" s="32"/>
      <c r="B642" s="265"/>
      <c r="C642" s="273" t="s">
        <v>289</v>
      </c>
      <c r="D642" s="44"/>
      <c r="E642" s="36"/>
      <c r="F642" s="36">
        <v>1</v>
      </c>
      <c r="G642" s="36"/>
      <c r="H642" s="36"/>
      <c r="I642" s="36">
        <f>ROUND(PRODUCT(E642:H642),2)</f>
        <v>1</v>
      </c>
      <c r="J642" s="10"/>
      <c r="L642" s="10"/>
    </row>
    <row r="643" spans="1:31" s="30" customFormat="1" x14ac:dyDescent="0.2">
      <c r="A643" s="32"/>
      <c r="B643" s="265"/>
      <c r="C643" s="273" t="s">
        <v>407</v>
      </c>
      <c r="D643" s="44"/>
      <c r="E643" s="36"/>
      <c r="F643" s="36">
        <v>4</v>
      </c>
      <c r="G643" s="36"/>
      <c r="H643" s="36"/>
      <c r="I643" s="36">
        <f t="shared" si="16"/>
        <v>4</v>
      </c>
      <c r="J643" s="10"/>
      <c r="L643" s="10"/>
    </row>
    <row r="644" spans="1:31" s="10" customFormat="1" x14ac:dyDescent="0.2">
      <c r="A644" s="32"/>
      <c r="B644" s="265"/>
      <c r="C644" s="273" t="s">
        <v>410</v>
      </c>
      <c r="D644" s="44"/>
      <c r="E644" s="36"/>
      <c r="F644" s="36">
        <v>2</v>
      </c>
      <c r="G644" s="36"/>
      <c r="H644" s="36"/>
      <c r="I644" s="36">
        <f>ROUND((PRODUCT(E644:H644)),2)</f>
        <v>2</v>
      </c>
    </row>
    <row r="645" spans="1:31" s="10" customFormat="1" x14ac:dyDescent="0.2">
      <c r="A645" s="32"/>
      <c r="B645" s="265"/>
      <c r="C645" s="273"/>
      <c r="D645" s="44"/>
      <c r="E645" s="36"/>
      <c r="F645" s="36" t="s">
        <v>201</v>
      </c>
      <c r="G645" s="36"/>
      <c r="H645" s="36"/>
      <c r="I645" s="36"/>
    </row>
    <row r="646" spans="1:31" s="10" customFormat="1" x14ac:dyDescent="0.2">
      <c r="A646" s="32"/>
      <c r="B646" s="265"/>
      <c r="C646" s="273" t="s">
        <v>858</v>
      </c>
      <c r="D646" s="44"/>
      <c r="E646" s="36">
        <v>-1</v>
      </c>
      <c r="F646" s="36">
        <v>9</v>
      </c>
      <c r="G646" s="36"/>
      <c r="H646" s="36"/>
      <c r="I646" s="36">
        <f>ROUND(PRODUCT(E646:H646),2)</f>
        <v>-9</v>
      </c>
    </row>
    <row r="647" spans="1:31" s="10" customFormat="1" x14ac:dyDescent="0.2">
      <c r="A647" s="32"/>
      <c r="B647" s="265"/>
      <c r="C647" s="45" t="str">
        <f>"Total item "&amp;A634</f>
        <v>Total item 11.4</v>
      </c>
      <c r="D647" s="44"/>
      <c r="E647" s="36"/>
      <c r="F647" s="36"/>
      <c r="G647" s="36"/>
      <c r="H647" s="36"/>
      <c r="I647" s="19">
        <f>SUM(I635:I646)</f>
        <v>41</v>
      </c>
    </row>
    <row r="648" spans="1:31" s="10" customFormat="1" x14ac:dyDescent="0.2">
      <c r="A648" s="32"/>
      <c r="B648" s="265"/>
      <c r="C648" s="266"/>
      <c r="D648" s="33"/>
      <c r="E648" s="267"/>
      <c r="F648" s="267"/>
      <c r="G648" s="267"/>
      <c r="H648" s="267"/>
      <c r="I648" s="267"/>
    </row>
    <row r="649" spans="1:31" s="10" customFormat="1" ht="67.5" x14ac:dyDescent="0.2">
      <c r="A649" s="268" t="s">
        <v>358</v>
      </c>
      <c r="B649" s="269" t="s">
        <v>246</v>
      </c>
      <c r="C649" s="270" t="str">
        <f>COMPOSIÇÕES!A108</f>
        <v>COMPOSIÇÃO PARAMÉTRICA DE PONTO ELÉTRICO DE TOMADA DE USO ESPECÍFICO 2P+T (20A/250V) EM EDIFÍCIO RESIDENCIAL COM ELETRODUTO EMBUTIDO EM RASGOS NAS PAREDES, INCLUSO TOMADA, ELETRODUTO, CABO, RASGO, QUEBRA E CHUMBAMENTO (EXCETO CHUVEIRO). AF_11/2022</v>
      </c>
      <c r="D649" s="271" t="s">
        <v>115</v>
      </c>
      <c r="E649" s="19"/>
      <c r="F649" s="272"/>
      <c r="G649" s="272"/>
      <c r="H649" s="19"/>
      <c r="I649" s="19"/>
      <c r="J649" s="31"/>
      <c r="L649" s="31"/>
      <c r="AE649" s="31" t="s">
        <v>143</v>
      </c>
    </row>
    <row r="650" spans="1:31" s="30" customFormat="1" x14ac:dyDescent="0.2">
      <c r="A650" s="32"/>
      <c r="B650" s="265"/>
      <c r="C650" s="273" t="s">
        <v>411</v>
      </c>
      <c r="D650" s="273"/>
      <c r="E650" s="273"/>
      <c r="F650" s="36"/>
      <c r="G650" s="36"/>
      <c r="H650" s="36"/>
      <c r="I650" s="36"/>
      <c r="J650" s="10"/>
      <c r="L650" s="10"/>
    </row>
    <row r="651" spans="1:31" s="30" customFormat="1" x14ac:dyDescent="0.2">
      <c r="A651" s="32"/>
      <c r="B651" s="265"/>
      <c r="C651" s="273" t="s">
        <v>247</v>
      </c>
      <c r="D651" s="273"/>
      <c r="E651" s="273"/>
      <c r="F651" s="36">
        <v>2</v>
      </c>
      <c r="G651" s="36"/>
      <c r="H651" s="36"/>
      <c r="I651" s="36">
        <f t="shared" ref="I651:I656" si="17">ROUND(PRODUCT(E651:H651),2)</f>
        <v>2</v>
      </c>
      <c r="J651" s="10"/>
      <c r="L651" s="10"/>
    </row>
    <row r="652" spans="1:31" s="30" customFormat="1" x14ac:dyDescent="0.2">
      <c r="A652" s="32"/>
      <c r="B652" s="265"/>
      <c r="C652" s="273" t="s">
        <v>291</v>
      </c>
      <c r="D652" s="44"/>
      <c r="E652" s="36"/>
      <c r="F652" s="36">
        <v>2</v>
      </c>
      <c r="G652" s="36"/>
      <c r="H652" s="36"/>
      <c r="I652" s="36">
        <f t="shared" si="17"/>
        <v>2</v>
      </c>
      <c r="J652" s="10"/>
      <c r="L652" s="10"/>
    </row>
    <row r="653" spans="1:31" s="30" customFormat="1" x14ac:dyDescent="0.2">
      <c r="A653" s="32"/>
      <c r="B653" s="265"/>
      <c r="C653" s="273" t="s">
        <v>292</v>
      </c>
      <c r="D653" s="44"/>
      <c r="E653" s="36"/>
      <c r="F653" s="36">
        <v>2</v>
      </c>
      <c r="G653" s="36"/>
      <c r="H653" s="36"/>
      <c r="I653" s="36">
        <f t="shared" si="17"/>
        <v>2</v>
      </c>
      <c r="J653" s="10"/>
      <c r="L653" s="10"/>
    </row>
    <row r="654" spans="1:31" s="30" customFormat="1" x14ac:dyDescent="0.2">
      <c r="A654" s="32"/>
      <c r="B654" s="265"/>
      <c r="C654" s="273" t="s">
        <v>293</v>
      </c>
      <c r="D654" s="44"/>
      <c r="E654" s="36"/>
      <c r="F654" s="36">
        <v>2</v>
      </c>
      <c r="G654" s="36"/>
      <c r="H654" s="36"/>
      <c r="I654" s="36">
        <f t="shared" si="17"/>
        <v>2</v>
      </c>
      <c r="J654" s="10"/>
      <c r="L654" s="10"/>
    </row>
    <row r="655" spans="1:31" s="30" customFormat="1" x14ac:dyDescent="0.2">
      <c r="A655" s="32"/>
      <c r="B655" s="265"/>
      <c r="C655" s="273" t="s">
        <v>294</v>
      </c>
      <c r="D655" s="44"/>
      <c r="E655" s="36"/>
      <c r="F655" s="36">
        <v>2</v>
      </c>
      <c r="G655" s="36"/>
      <c r="H655" s="36"/>
      <c r="I655" s="36">
        <f t="shared" si="17"/>
        <v>2</v>
      </c>
      <c r="J655" s="10"/>
      <c r="L655" s="10"/>
    </row>
    <row r="656" spans="1:31" s="30" customFormat="1" x14ac:dyDescent="0.2">
      <c r="A656" s="32"/>
      <c r="B656" s="265"/>
      <c r="C656" s="273" t="s">
        <v>295</v>
      </c>
      <c r="D656" s="44"/>
      <c r="E656" s="36"/>
      <c r="F656" s="36">
        <v>2</v>
      </c>
      <c r="G656" s="36"/>
      <c r="H656" s="36"/>
      <c r="I656" s="36">
        <f t="shared" si="17"/>
        <v>2</v>
      </c>
      <c r="J656" s="10"/>
      <c r="L656" s="10"/>
    </row>
    <row r="657" spans="1:31" s="30" customFormat="1" x14ac:dyDescent="0.2">
      <c r="A657" s="32"/>
      <c r="B657" s="265"/>
      <c r="C657" s="273"/>
      <c r="D657" s="44"/>
      <c r="E657" s="36"/>
      <c r="F657" s="36" t="s">
        <v>201</v>
      </c>
      <c r="G657" s="36"/>
      <c r="H657" s="36"/>
      <c r="I657" s="36"/>
      <c r="J657" s="10"/>
      <c r="L657" s="10"/>
    </row>
    <row r="658" spans="1:31" s="30" customFormat="1" x14ac:dyDescent="0.2">
      <c r="A658" s="32"/>
      <c r="B658" s="265"/>
      <c r="C658" s="273" t="s">
        <v>858</v>
      </c>
      <c r="D658" s="44"/>
      <c r="E658" s="36">
        <v>-1</v>
      </c>
      <c r="F658" s="36">
        <v>4</v>
      </c>
      <c r="G658" s="36"/>
      <c r="H658" s="36"/>
      <c r="I658" s="36">
        <f>ROUND(PRODUCT(E658:H658),2)</f>
        <v>-4</v>
      </c>
      <c r="J658" s="10"/>
      <c r="L658" s="10"/>
    </row>
    <row r="659" spans="1:31" s="10" customFormat="1" x14ac:dyDescent="0.2">
      <c r="A659" s="32"/>
      <c r="B659" s="265"/>
      <c r="C659" s="45" t="str">
        <f>"Total item "&amp;A649</f>
        <v>Total item 11.5</v>
      </c>
      <c r="D659" s="44"/>
      <c r="E659" s="36"/>
      <c r="F659" s="36"/>
      <c r="G659" s="36"/>
      <c r="H659" s="36"/>
      <c r="I659" s="19">
        <f>SUM(I651:I658)</f>
        <v>8</v>
      </c>
    </row>
    <row r="660" spans="1:31" s="10" customFormat="1" x14ac:dyDescent="0.2">
      <c r="A660" s="32"/>
      <c r="B660" s="265"/>
      <c r="C660" s="266"/>
      <c r="D660" s="33"/>
      <c r="E660" s="267"/>
      <c r="F660" s="267"/>
      <c r="G660" s="267"/>
      <c r="H660" s="267"/>
      <c r="I660" s="267"/>
    </row>
    <row r="661" spans="1:31" s="10" customFormat="1" ht="45" x14ac:dyDescent="0.2">
      <c r="A661" s="268" t="s">
        <v>359</v>
      </c>
      <c r="B661" s="269" t="s">
        <v>506</v>
      </c>
      <c r="C661" s="270" t="s">
        <v>523</v>
      </c>
      <c r="D661" s="271" t="s">
        <v>115</v>
      </c>
      <c r="E661" s="19"/>
      <c r="F661" s="272"/>
      <c r="G661" s="272"/>
      <c r="H661" s="19"/>
      <c r="I661" s="19"/>
      <c r="J661" s="31"/>
      <c r="L661" s="31"/>
      <c r="AE661" s="31" t="s">
        <v>145</v>
      </c>
    </row>
    <row r="662" spans="1:31" s="30" customFormat="1" x14ac:dyDescent="0.2">
      <c r="A662" s="32"/>
      <c r="B662" s="265"/>
      <c r="C662" s="273" t="s">
        <v>247</v>
      </c>
      <c r="D662" s="273"/>
      <c r="E662" s="273"/>
      <c r="F662" s="36">
        <v>12</v>
      </c>
      <c r="G662" s="36"/>
      <c r="H662" s="36"/>
      <c r="I662" s="36">
        <f t="shared" ref="I662:I669" si="18">ROUND(PRODUCT(E662:H662),2)</f>
        <v>12</v>
      </c>
      <c r="J662" s="10"/>
      <c r="L662" s="10"/>
    </row>
    <row r="663" spans="1:31" s="30" customFormat="1" x14ac:dyDescent="0.2">
      <c r="A663" s="32"/>
      <c r="B663" s="265"/>
      <c r="C663" s="273" t="s">
        <v>291</v>
      </c>
      <c r="D663" s="44"/>
      <c r="E663" s="36"/>
      <c r="F663" s="36">
        <v>12</v>
      </c>
      <c r="G663" s="36"/>
      <c r="H663" s="36"/>
      <c r="I663" s="36">
        <f t="shared" si="18"/>
        <v>12</v>
      </c>
      <c r="J663" s="10"/>
      <c r="L663" s="10"/>
    </row>
    <row r="664" spans="1:31" s="30" customFormat="1" x14ac:dyDescent="0.2">
      <c r="A664" s="32"/>
      <c r="B664" s="265"/>
      <c r="C664" s="273" t="s">
        <v>292</v>
      </c>
      <c r="D664" s="44"/>
      <c r="E664" s="36"/>
      <c r="F664" s="36">
        <v>12</v>
      </c>
      <c r="G664" s="36"/>
      <c r="H664" s="36"/>
      <c r="I664" s="36">
        <f t="shared" si="18"/>
        <v>12</v>
      </c>
      <c r="J664" s="10"/>
      <c r="L664" s="10"/>
    </row>
    <row r="665" spans="1:31" s="30" customFormat="1" x14ac:dyDescent="0.2">
      <c r="A665" s="32"/>
      <c r="B665" s="265"/>
      <c r="C665" s="273" t="s">
        <v>293</v>
      </c>
      <c r="D665" s="44"/>
      <c r="E665" s="36"/>
      <c r="F665" s="36">
        <v>12</v>
      </c>
      <c r="G665" s="36"/>
      <c r="H665" s="36"/>
      <c r="I665" s="36">
        <f t="shared" si="18"/>
        <v>12</v>
      </c>
      <c r="J665" s="10"/>
      <c r="L665" s="10"/>
    </row>
    <row r="666" spans="1:31" s="30" customFormat="1" x14ac:dyDescent="0.2">
      <c r="A666" s="32"/>
      <c r="B666" s="265"/>
      <c r="C666" s="273" t="s">
        <v>294</v>
      </c>
      <c r="D666" s="44"/>
      <c r="E666" s="36"/>
      <c r="F666" s="36">
        <v>12</v>
      </c>
      <c r="G666" s="36"/>
      <c r="H666" s="36"/>
      <c r="I666" s="36">
        <f t="shared" si="18"/>
        <v>12</v>
      </c>
      <c r="J666" s="10"/>
      <c r="L666" s="10"/>
    </row>
    <row r="667" spans="1:31" s="30" customFormat="1" x14ac:dyDescent="0.2">
      <c r="A667" s="32"/>
      <c r="B667" s="265"/>
      <c r="C667" s="273" t="s">
        <v>295</v>
      </c>
      <c r="D667" s="44"/>
      <c r="E667" s="36"/>
      <c r="F667" s="36">
        <v>12</v>
      </c>
      <c r="G667" s="36"/>
      <c r="H667" s="36"/>
      <c r="I667" s="36">
        <f t="shared" si="18"/>
        <v>12</v>
      </c>
      <c r="J667" s="10"/>
      <c r="L667" s="10"/>
    </row>
    <row r="668" spans="1:31" s="10" customFormat="1" x14ac:dyDescent="0.2">
      <c r="A668" s="32"/>
      <c r="B668" s="265"/>
      <c r="C668" s="273" t="s">
        <v>789</v>
      </c>
      <c r="D668" s="44"/>
      <c r="E668" s="36"/>
      <c r="F668" s="36">
        <v>3</v>
      </c>
      <c r="G668" s="36"/>
      <c r="H668" s="36"/>
      <c r="I668" s="36">
        <f>ROUND(PRODUCT(E668:H668),2)</f>
        <v>3</v>
      </c>
      <c r="K668" s="299"/>
      <c r="L668" s="300">
        <v>0.8</v>
      </c>
      <c r="M668" s="300">
        <v>0.8</v>
      </c>
      <c r="N668" s="300">
        <v>0.2</v>
      </c>
      <c r="O668" s="300">
        <v>0.3</v>
      </c>
      <c r="P668" s="300">
        <v>0.15</v>
      </c>
      <c r="Q668" s="300">
        <v>0.25</v>
      </c>
      <c r="R668" s="300">
        <v>1.5</v>
      </c>
    </row>
    <row r="669" spans="1:31" s="30" customFormat="1" x14ac:dyDescent="0.2">
      <c r="A669" s="32"/>
      <c r="B669" s="265"/>
      <c r="C669" s="273" t="s">
        <v>407</v>
      </c>
      <c r="D669" s="44"/>
      <c r="E669" s="36"/>
      <c r="F669" s="36">
        <v>8</v>
      </c>
      <c r="G669" s="36"/>
      <c r="H669" s="36"/>
      <c r="I669" s="36">
        <f t="shared" si="18"/>
        <v>8</v>
      </c>
      <c r="J669" s="10"/>
      <c r="L669" s="10"/>
    </row>
    <row r="670" spans="1:31" s="10" customFormat="1" x14ac:dyDescent="0.2">
      <c r="A670" s="32"/>
      <c r="B670" s="265"/>
      <c r="C670" s="273" t="s">
        <v>289</v>
      </c>
      <c r="D670" s="44"/>
      <c r="E670" s="36"/>
      <c r="F670" s="36">
        <v>1</v>
      </c>
      <c r="G670" s="36"/>
      <c r="H670" s="36"/>
      <c r="I670" s="36">
        <f>ROUND((PRODUCT(E670:H670)),2)</f>
        <v>1</v>
      </c>
    </row>
    <row r="671" spans="1:31" s="10" customFormat="1" x14ac:dyDescent="0.2">
      <c r="A671" s="32"/>
      <c r="B671" s="265"/>
      <c r="C671" s="273" t="s">
        <v>408</v>
      </c>
      <c r="D671" s="44"/>
      <c r="E671" s="36"/>
      <c r="F671" s="36">
        <v>3</v>
      </c>
      <c r="G671" s="36"/>
      <c r="H671" s="36"/>
      <c r="I671" s="36">
        <f>ROUND((PRODUCT(E671:H671)),2)</f>
        <v>3</v>
      </c>
    </row>
    <row r="672" spans="1:31" s="10" customFormat="1" x14ac:dyDescent="0.2">
      <c r="A672" s="32"/>
      <c r="B672" s="265"/>
      <c r="C672" s="273" t="s">
        <v>409</v>
      </c>
      <c r="D672" s="44"/>
      <c r="E672" s="36"/>
      <c r="F672" s="36">
        <v>3</v>
      </c>
      <c r="G672" s="36"/>
      <c r="H672" s="36"/>
      <c r="I672" s="36">
        <f>ROUND((PRODUCT(E672:H672)),2)</f>
        <v>3</v>
      </c>
    </row>
    <row r="673" spans="1:31" s="10" customFormat="1" x14ac:dyDescent="0.2">
      <c r="A673" s="32"/>
      <c r="B673" s="265"/>
      <c r="C673" s="273" t="s">
        <v>410</v>
      </c>
      <c r="D673" s="44"/>
      <c r="E673" s="36"/>
      <c r="F673" s="36">
        <v>4</v>
      </c>
      <c r="G673" s="36"/>
      <c r="H673" s="36"/>
      <c r="I673" s="36">
        <f>ROUND((PRODUCT(E673:H673)),2)</f>
        <v>4</v>
      </c>
    </row>
    <row r="674" spans="1:31" s="10" customFormat="1" x14ac:dyDescent="0.2">
      <c r="A674" s="32"/>
      <c r="B674" s="265"/>
      <c r="C674" s="273"/>
      <c r="D674" s="44"/>
      <c r="E674" s="36"/>
      <c r="F674" s="36" t="s">
        <v>201</v>
      </c>
      <c r="G674" s="36"/>
      <c r="H674" s="36"/>
      <c r="I674" s="36"/>
    </row>
    <row r="675" spans="1:31" s="10" customFormat="1" x14ac:dyDescent="0.2">
      <c r="A675" s="32"/>
      <c r="B675" s="265"/>
      <c r="C675" s="273" t="s">
        <v>858</v>
      </c>
      <c r="D675" s="44"/>
      <c r="E675" s="36">
        <v>-1</v>
      </c>
      <c r="F675" s="36">
        <v>32</v>
      </c>
      <c r="G675" s="36"/>
      <c r="H675" s="36"/>
      <c r="I675" s="36">
        <f>ROUND(PRODUCT(E675:H675),2)</f>
        <v>-32</v>
      </c>
    </row>
    <row r="676" spans="1:31" s="10" customFormat="1" x14ac:dyDescent="0.2">
      <c r="A676" s="32"/>
      <c r="B676" s="265"/>
      <c r="C676" s="45" t="str">
        <f>"Total item "&amp;A661</f>
        <v>Total item 11.6</v>
      </c>
      <c r="D676" s="44"/>
      <c r="E676" s="36"/>
      <c r="F676" s="36"/>
      <c r="G676" s="36"/>
      <c r="H676" s="36"/>
      <c r="I676" s="19">
        <f>SUM(I662:I675)</f>
        <v>62</v>
      </c>
    </row>
    <row r="677" spans="1:31" s="10" customFormat="1" x14ac:dyDescent="0.2">
      <c r="A677" s="32"/>
      <c r="B677" s="265"/>
      <c r="C677" s="266"/>
      <c r="D677" s="33"/>
      <c r="E677" s="267"/>
      <c r="F677" s="267"/>
      <c r="G677" s="267"/>
      <c r="H677" s="267"/>
      <c r="I677" s="267"/>
    </row>
    <row r="678" spans="1:31" s="10" customFormat="1" ht="33.75" x14ac:dyDescent="0.2">
      <c r="A678" s="268" t="s">
        <v>360</v>
      </c>
      <c r="B678" s="269" t="s">
        <v>59</v>
      </c>
      <c r="C678" s="270" t="s">
        <v>525</v>
      </c>
      <c r="D678" s="271" t="s">
        <v>115</v>
      </c>
      <c r="E678" s="19"/>
      <c r="F678" s="272"/>
      <c r="G678" s="272"/>
      <c r="H678" s="19"/>
      <c r="I678" s="19"/>
      <c r="J678" s="31"/>
      <c r="L678" s="31"/>
      <c r="AE678" s="31" t="s">
        <v>146</v>
      </c>
    </row>
    <row r="679" spans="1:31" s="30" customFormat="1" x14ac:dyDescent="0.2">
      <c r="A679" s="32"/>
      <c r="B679" s="265"/>
      <c r="C679" s="45" t="s">
        <v>308</v>
      </c>
      <c r="D679" s="44"/>
      <c r="E679" s="36"/>
      <c r="F679" s="36"/>
      <c r="G679" s="36"/>
      <c r="H679" s="36"/>
      <c r="I679" s="36"/>
      <c r="J679" s="10"/>
      <c r="L679" s="10"/>
    </row>
    <row r="680" spans="1:31" s="10" customFormat="1" x14ac:dyDescent="0.2">
      <c r="A680" s="32"/>
      <c r="B680" s="265"/>
      <c r="C680" s="273" t="s">
        <v>307</v>
      </c>
      <c r="D680" s="44"/>
      <c r="E680" s="36">
        <v>12</v>
      </c>
      <c r="F680" s="36"/>
      <c r="G680" s="36"/>
      <c r="H680" s="36"/>
      <c r="I680" s="36">
        <f>ROUND(PRODUCT(E680:H680),2)</f>
        <v>12</v>
      </c>
    </row>
    <row r="681" spans="1:31" s="10" customFormat="1" x14ac:dyDescent="0.2">
      <c r="A681" s="32"/>
      <c r="B681" s="265"/>
      <c r="C681" s="273" t="s">
        <v>310</v>
      </c>
      <c r="D681" s="44"/>
      <c r="E681" s="36">
        <v>2</v>
      </c>
      <c r="F681" s="36"/>
      <c r="G681" s="36"/>
      <c r="H681" s="36"/>
      <c r="I681" s="36">
        <f>ROUND(PRODUCT(E681:H681),2)</f>
        <v>2</v>
      </c>
    </row>
    <row r="682" spans="1:31" s="10" customFormat="1" x14ac:dyDescent="0.2">
      <c r="A682" s="32"/>
      <c r="B682" s="265"/>
      <c r="C682" s="273"/>
      <c r="D682" s="44"/>
      <c r="E682" s="36"/>
      <c r="F682" s="36" t="s">
        <v>201</v>
      </c>
      <c r="G682" s="36"/>
      <c r="H682" s="36"/>
      <c r="I682" s="36"/>
    </row>
    <row r="683" spans="1:31" s="10" customFormat="1" x14ac:dyDescent="0.2">
      <c r="A683" s="32"/>
      <c r="B683" s="265"/>
      <c r="C683" s="273" t="s">
        <v>859</v>
      </c>
      <c r="D683" s="44"/>
      <c r="E683" s="36">
        <v>-1</v>
      </c>
      <c r="F683" s="36">
        <v>6</v>
      </c>
      <c r="G683" s="36"/>
      <c r="H683" s="36"/>
      <c r="I683" s="36">
        <f>ROUND(PRODUCT(E683:H683),2)</f>
        <v>-6</v>
      </c>
    </row>
    <row r="684" spans="1:31" s="10" customFormat="1" x14ac:dyDescent="0.2">
      <c r="A684" s="32"/>
      <c r="B684" s="265"/>
      <c r="C684" s="45" t="str">
        <f>"Total item "&amp;A678</f>
        <v>Total item 11.7</v>
      </c>
      <c r="D684" s="44"/>
      <c r="E684" s="36"/>
      <c r="F684" s="36"/>
      <c r="G684" s="36"/>
      <c r="H684" s="36"/>
      <c r="I684" s="19">
        <f>SUM(I679:I683)</f>
        <v>8</v>
      </c>
    </row>
    <row r="685" spans="1:31" s="10" customFormat="1" x14ac:dyDescent="0.2">
      <c r="A685" s="32"/>
      <c r="B685" s="265"/>
      <c r="C685" s="266"/>
      <c r="D685" s="33"/>
      <c r="E685" s="267"/>
      <c r="F685" s="267"/>
      <c r="G685" s="267"/>
      <c r="H685" s="267"/>
      <c r="I685" s="267"/>
    </row>
    <row r="686" spans="1:31" s="10" customFormat="1" ht="33.75" x14ac:dyDescent="0.2">
      <c r="A686" s="268" t="s">
        <v>361</v>
      </c>
      <c r="B686" s="269" t="s">
        <v>59</v>
      </c>
      <c r="C686" s="270" t="s">
        <v>352</v>
      </c>
      <c r="D686" s="271" t="s">
        <v>115</v>
      </c>
      <c r="E686" s="19"/>
      <c r="F686" s="272"/>
      <c r="G686" s="272"/>
      <c r="H686" s="19"/>
      <c r="I686" s="19"/>
      <c r="J686" s="31"/>
      <c r="L686" s="31"/>
      <c r="AE686" s="31" t="s">
        <v>146</v>
      </c>
    </row>
    <row r="687" spans="1:31" s="10" customFormat="1" x14ac:dyDescent="0.2">
      <c r="A687" s="32"/>
      <c r="B687" s="265"/>
      <c r="C687" s="273" t="s">
        <v>309</v>
      </c>
      <c r="D687" s="44"/>
      <c r="E687" s="36">
        <v>6</v>
      </c>
      <c r="F687" s="36"/>
      <c r="G687" s="36"/>
      <c r="H687" s="36"/>
      <c r="I687" s="36">
        <f>ROUND(PRODUCT(E687:H687),2)</f>
        <v>6</v>
      </c>
    </row>
    <row r="688" spans="1:31" s="10" customFormat="1" x14ac:dyDescent="0.2">
      <c r="A688" s="32"/>
      <c r="B688" s="265"/>
      <c r="C688" s="45" t="str">
        <f>"Total item "&amp;A686</f>
        <v>Total item 11.8</v>
      </c>
      <c r="D688" s="44"/>
      <c r="E688" s="36"/>
      <c r="F688" s="36"/>
      <c r="G688" s="36"/>
      <c r="H688" s="36"/>
      <c r="I688" s="19">
        <f>SUM(I687:I687)</f>
        <v>6</v>
      </c>
    </row>
    <row r="689" spans="1:31" s="10" customFormat="1" x14ac:dyDescent="0.2">
      <c r="A689" s="32"/>
      <c r="B689" s="265"/>
      <c r="C689" s="266"/>
      <c r="D689" s="33"/>
      <c r="E689" s="267"/>
      <c r="F689" s="267"/>
      <c r="G689" s="267"/>
      <c r="H689" s="267"/>
      <c r="I689" s="267"/>
    </row>
    <row r="690" spans="1:31" s="263" customFormat="1" ht="10.5" customHeight="1" x14ac:dyDescent="0.2">
      <c r="A690" s="252" t="s">
        <v>241</v>
      </c>
      <c r="B690" s="253"/>
      <c r="C690" s="254" t="s">
        <v>49</v>
      </c>
      <c r="D690" s="255"/>
      <c r="E690" s="256"/>
      <c r="F690" s="256"/>
      <c r="G690" s="256"/>
      <c r="H690" s="256"/>
      <c r="I690" s="256"/>
      <c r="J690" s="261" t="s">
        <v>110</v>
      </c>
      <c r="K690" s="262" t="s">
        <v>160</v>
      </c>
      <c r="AE690" s="264"/>
    </row>
    <row r="691" spans="1:31" s="10" customFormat="1" x14ac:dyDescent="0.2">
      <c r="A691" s="32"/>
      <c r="B691" s="265"/>
      <c r="C691" s="266"/>
      <c r="D691" s="33"/>
      <c r="E691" s="267"/>
      <c r="F691" s="267"/>
      <c r="G691" s="267"/>
      <c r="H691" s="267"/>
      <c r="I691" s="267"/>
    </row>
    <row r="692" spans="1:31" s="10" customFormat="1" ht="56.25" x14ac:dyDescent="0.2">
      <c r="A692" s="268" t="s">
        <v>37</v>
      </c>
      <c r="B692" s="269" t="s">
        <v>59</v>
      </c>
      <c r="C692" s="270" t="s">
        <v>534</v>
      </c>
      <c r="D692" s="271" t="s">
        <v>115</v>
      </c>
      <c r="E692" s="19"/>
      <c r="F692" s="272"/>
      <c r="G692" s="272"/>
      <c r="H692" s="19"/>
      <c r="I692" s="19"/>
      <c r="J692" s="31"/>
      <c r="L692" s="31"/>
      <c r="AE692" s="31" t="s">
        <v>147</v>
      </c>
    </row>
    <row r="693" spans="1:31" s="10" customFormat="1" x14ac:dyDescent="0.2">
      <c r="A693" s="32"/>
      <c r="B693" s="265"/>
      <c r="C693" s="273" t="s">
        <v>408</v>
      </c>
      <c r="D693" s="44"/>
      <c r="E693" s="36">
        <v>1</v>
      </c>
      <c r="F693" s="36"/>
      <c r="G693" s="36"/>
      <c r="H693" s="36"/>
      <c r="I693" s="36">
        <f>ROUND(PRODUCT(E693:H693),2)</f>
        <v>1</v>
      </c>
    </row>
    <row r="694" spans="1:31" s="10" customFormat="1" x14ac:dyDescent="0.2">
      <c r="A694" s="32"/>
      <c r="B694" s="265"/>
      <c r="C694" s="273" t="s">
        <v>409</v>
      </c>
      <c r="D694" s="44"/>
      <c r="E694" s="36">
        <v>1</v>
      </c>
      <c r="F694" s="36"/>
      <c r="G694" s="36"/>
      <c r="H694" s="36"/>
      <c r="I694" s="36">
        <f>ROUND(PRODUCT(E694:H694),2)</f>
        <v>1</v>
      </c>
    </row>
    <row r="695" spans="1:31" s="10" customFormat="1" x14ac:dyDescent="0.2">
      <c r="A695" s="32"/>
      <c r="B695" s="265"/>
      <c r="C695" s="273" t="s">
        <v>536</v>
      </c>
      <c r="D695" s="44"/>
      <c r="E695" s="36">
        <v>2</v>
      </c>
      <c r="F695" s="36"/>
      <c r="G695" s="36"/>
      <c r="H695" s="36"/>
      <c r="I695" s="36">
        <f>ROUND(PRODUCT(E695:H695),2)</f>
        <v>2</v>
      </c>
    </row>
    <row r="696" spans="1:31" s="10" customFormat="1" x14ac:dyDescent="0.2">
      <c r="A696" s="32"/>
      <c r="B696" s="265"/>
      <c r="C696" s="45" t="str">
        <f>"Total item "&amp;A692</f>
        <v>Total item 12.1</v>
      </c>
      <c r="D696" s="44"/>
      <c r="E696" s="36"/>
      <c r="F696" s="36"/>
      <c r="G696" s="36"/>
      <c r="H696" s="36"/>
      <c r="I696" s="19">
        <f>SUM(I693:I695)</f>
        <v>4</v>
      </c>
    </row>
    <row r="697" spans="1:31" s="10" customFormat="1" x14ac:dyDescent="0.2">
      <c r="A697" s="32"/>
      <c r="B697" s="265"/>
      <c r="C697" s="266"/>
      <c r="D697" s="33"/>
      <c r="E697" s="267"/>
      <c r="F697" s="267"/>
      <c r="G697" s="267"/>
      <c r="H697" s="267"/>
      <c r="I697" s="267"/>
    </row>
    <row r="698" spans="1:31" s="10" customFormat="1" ht="67.5" x14ac:dyDescent="0.2">
      <c r="A698" s="268" t="s">
        <v>279</v>
      </c>
      <c r="B698" s="269" t="s">
        <v>59</v>
      </c>
      <c r="C698" s="270" t="s">
        <v>528</v>
      </c>
      <c r="D698" s="271" t="s">
        <v>115</v>
      </c>
      <c r="E698" s="19"/>
      <c r="F698" s="272"/>
      <c r="G698" s="272"/>
      <c r="H698" s="19"/>
      <c r="I698" s="19"/>
      <c r="J698" s="31"/>
      <c r="L698" s="31"/>
      <c r="AE698" s="31" t="s">
        <v>148</v>
      </c>
    </row>
    <row r="699" spans="1:31" s="10" customFormat="1" x14ac:dyDescent="0.2">
      <c r="A699" s="32"/>
      <c r="B699" s="265"/>
      <c r="C699" s="273" t="s">
        <v>408</v>
      </c>
      <c r="D699" s="44"/>
      <c r="E699" s="36">
        <v>3</v>
      </c>
      <c r="F699" s="36"/>
      <c r="G699" s="36"/>
      <c r="H699" s="36"/>
      <c r="I699" s="36">
        <f>ROUND(PRODUCT(E699:H699),2)</f>
        <v>3</v>
      </c>
    </row>
    <row r="700" spans="1:31" s="10" customFormat="1" x14ac:dyDescent="0.2">
      <c r="A700" s="32"/>
      <c r="B700" s="265"/>
      <c r="C700" s="273" t="s">
        <v>409</v>
      </c>
      <c r="D700" s="44"/>
      <c r="E700" s="36">
        <v>3</v>
      </c>
      <c r="F700" s="36"/>
      <c r="G700" s="36"/>
      <c r="H700" s="36"/>
      <c r="I700" s="36">
        <f>ROUND(PRODUCT(E700:H700),2)</f>
        <v>3</v>
      </c>
    </row>
    <row r="701" spans="1:31" s="10" customFormat="1" x14ac:dyDescent="0.2">
      <c r="A701" s="32"/>
      <c r="B701" s="265"/>
      <c r="C701" s="45" t="str">
        <f>"Total item "&amp;A698</f>
        <v>Total item 12.2</v>
      </c>
      <c r="D701" s="44"/>
      <c r="E701" s="36"/>
      <c r="F701" s="36"/>
      <c r="G701" s="36"/>
      <c r="H701" s="36"/>
      <c r="I701" s="19">
        <f>SUM(I699:I700)</f>
        <v>6</v>
      </c>
    </row>
    <row r="702" spans="1:31" s="10" customFormat="1" x14ac:dyDescent="0.2">
      <c r="A702" s="32"/>
      <c r="B702" s="265"/>
      <c r="C702" s="266"/>
      <c r="D702" s="33"/>
      <c r="E702" s="267"/>
      <c r="F702" s="267"/>
      <c r="G702" s="267"/>
      <c r="H702" s="267"/>
      <c r="I702" s="267"/>
    </row>
    <row r="703" spans="1:31" s="10" customFormat="1" ht="45" x14ac:dyDescent="0.2">
      <c r="A703" s="268" t="s">
        <v>38</v>
      </c>
      <c r="B703" s="269" t="s">
        <v>59</v>
      </c>
      <c r="C703" s="270" t="s">
        <v>531</v>
      </c>
      <c r="D703" s="271" t="s">
        <v>115</v>
      </c>
      <c r="E703" s="19"/>
      <c r="F703" s="272"/>
      <c r="G703" s="272"/>
      <c r="H703" s="19"/>
      <c r="I703" s="19"/>
      <c r="J703" s="31"/>
      <c r="L703" s="31"/>
      <c r="AE703" s="31" t="s">
        <v>149</v>
      </c>
    </row>
    <row r="704" spans="1:31" s="10" customFormat="1" x14ac:dyDescent="0.2">
      <c r="A704" s="32"/>
      <c r="B704" s="265"/>
      <c r="C704" s="273" t="s">
        <v>408</v>
      </c>
      <c r="D704" s="44"/>
      <c r="E704" s="36">
        <v>1</v>
      </c>
      <c r="F704" s="36"/>
      <c r="G704" s="36"/>
      <c r="H704" s="36"/>
      <c r="I704" s="36">
        <f>ROUND(PRODUCT(E704:H704),2)</f>
        <v>1</v>
      </c>
    </row>
    <row r="705" spans="1:31" s="10" customFormat="1" x14ac:dyDescent="0.2">
      <c r="A705" s="32"/>
      <c r="B705" s="265"/>
      <c r="C705" s="273" t="s">
        <v>409</v>
      </c>
      <c r="D705" s="44"/>
      <c r="E705" s="36">
        <v>1</v>
      </c>
      <c r="F705" s="36"/>
      <c r="G705" s="36"/>
      <c r="H705" s="36"/>
      <c r="I705" s="36">
        <f>ROUND(PRODUCT(E705:H705),2)</f>
        <v>1</v>
      </c>
    </row>
    <row r="706" spans="1:31" s="10" customFormat="1" x14ac:dyDescent="0.2">
      <c r="A706" s="32"/>
      <c r="B706" s="265"/>
      <c r="C706" s="45" t="str">
        <f>"Total item "&amp;A703</f>
        <v>Total item 12.3</v>
      </c>
      <c r="D706" s="44"/>
      <c r="E706" s="36"/>
      <c r="F706" s="36"/>
      <c r="G706" s="36"/>
      <c r="H706" s="36"/>
      <c r="I706" s="19">
        <f>SUM(I704:I705)</f>
        <v>2</v>
      </c>
    </row>
    <row r="707" spans="1:31" s="10" customFormat="1" x14ac:dyDescent="0.2">
      <c r="A707" s="32"/>
      <c r="B707" s="265"/>
      <c r="C707" s="266"/>
      <c r="D707" s="33"/>
      <c r="E707" s="267"/>
      <c r="F707" s="267"/>
      <c r="G707" s="267"/>
      <c r="H707" s="267"/>
      <c r="I707" s="267"/>
    </row>
    <row r="708" spans="1:31" s="10" customFormat="1" ht="33.75" x14ac:dyDescent="0.2">
      <c r="A708" s="268" t="s">
        <v>165</v>
      </c>
      <c r="B708" s="269" t="s">
        <v>59</v>
      </c>
      <c r="C708" s="270" t="s">
        <v>166</v>
      </c>
      <c r="D708" s="271" t="s">
        <v>115</v>
      </c>
      <c r="E708" s="19"/>
      <c r="F708" s="272"/>
      <c r="G708" s="272"/>
      <c r="H708" s="19"/>
      <c r="I708" s="19"/>
      <c r="J708" s="31"/>
      <c r="L708" s="31"/>
      <c r="AE708" s="31" t="s">
        <v>150</v>
      </c>
    </row>
    <row r="709" spans="1:31" s="10" customFormat="1" x14ac:dyDescent="0.2">
      <c r="A709" s="32"/>
      <c r="B709" s="265"/>
      <c r="C709" s="273" t="s">
        <v>408</v>
      </c>
      <c r="D709" s="44"/>
      <c r="E709" s="36">
        <v>7</v>
      </c>
      <c r="F709" s="36"/>
      <c r="G709" s="36"/>
      <c r="H709" s="36"/>
      <c r="I709" s="36">
        <f>ROUND(PRODUCT(E709:H709),2)</f>
        <v>7</v>
      </c>
    </row>
    <row r="710" spans="1:31" s="10" customFormat="1" x14ac:dyDescent="0.2">
      <c r="A710" s="32"/>
      <c r="B710" s="265"/>
      <c r="C710" s="273" t="s">
        <v>409</v>
      </c>
      <c r="D710" s="44"/>
      <c r="E710" s="36">
        <v>7</v>
      </c>
      <c r="F710" s="36"/>
      <c r="G710" s="36"/>
      <c r="H710" s="36"/>
      <c r="I710" s="36">
        <f>ROUND(PRODUCT(E710:H710),2)</f>
        <v>7</v>
      </c>
    </row>
    <row r="711" spans="1:31" s="10" customFormat="1" x14ac:dyDescent="0.2">
      <c r="A711" s="32"/>
      <c r="B711" s="265"/>
      <c r="C711" s="45" t="str">
        <f>"Total item "&amp;A708</f>
        <v>Total item 12.4</v>
      </c>
      <c r="D711" s="44"/>
      <c r="E711" s="36"/>
      <c r="F711" s="36"/>
      <c r="G711" s="36"/>
      <c r="H711" s="36"/>
      <c r="I711" s="19">
        <f>SUM(I709:I710)</f>
        <v>14</v>
      </c>
    </row>
    <row r="712" spans="1:31" s="10" customFormat="1" x14ac:dyDescent="0.2">
      <c r="A712" s="32"/>
      <c r="B712" s="265"/>
      <c r="C712" s="265"/>
      <c r="D712" s="265"/>
      <c r="E712" s="267"/>
      <c r="F712" s="267"/>
      <c r="G712" s="267"/>
      <c r="H712" s="267"/>
      <c r="I712" s="267"/>
    </row>
    <row r="713" spans="1:31" s="10" customFormat="1" ht="67.5" x14ac:dyDescent="0.2">
      <c r="A713" s="268" t="s">
        <v>281</v>
      </c>
      <c r="B713" s="269" t="s">
        <v>59</v>
      </c>
      <c r="C713" s="270" t="s">
        <v>539</v>
      </c>
      <c r="D713" s="271" t="s">
        <v>115</v>
      </c>
      <c r="E713" s="19"/>
      <c r="F713" s="272"/>
      <c r="G713" s="272"/>
      <c r="H713" s="19"/>
      <c r="I713" s="19"/>
      <c r="J713" s="31"/>
      <c r="L713" s="31"/>
      <c r="AE713" s="31" t="s">
        <v>151</v>
      </c>
    </row>
    <row r="714" spans="1:31" s="10" customFormat="1" x14ac:dyDescent="0.2">
      <c r="A714" s="32"/>
      <c r="B714" s="265"/>
      <c r="C714" s="273" t="s">
        <v>408</v>
      </c>
      <c r="D714" s="44"/>
      <c r="E714" s="36">
        <v>2</v>
      </c>
      <c r="F714" s="36"/>
      <c r="G714" s="36"/>
      <c r="H714" s="36"/>
      <c r="I714" s="36">
        <f>ROUND(PRODUCT(E714:H714),2)</f>
        <v>2</v>
      </c>
    </row>
    <row r="715" spans="1:31" s="10" customFormat="1" x14ac:dyDescent="0.2">
      <c r="A715" s="32"/>
      <c r="B715" s="265"/>
      <c r="C715" s="273" t="s">
        <v>409</v>
      </c>
      <c r="D715" s="44"/>
      <c r="E715" s="36">
        <v>2</v>
      </c>
      <c r="F715" s="36"/>
      <c r="G715" s="36"/>
      <c r="H715" s="36"/>
      <c r="I715" s="36">
        <f>ROUND(PRODUCT(E715:H715),2)</f>
        <v>2</v>
      </c>
    </row>
    <row r="716" spans="1:31" s="10" customFormat="1" x14ac:dyDescent="0.2">
      <c r="A716" s="32"/>
      <c r="B716" s="265"/>
      <c r="C716" s="45" t="str">
        <f>"Total item "&amp;A713</f>
        <v>Total item 12.5</v>
      </c>
      <c r="D716" s="44"/>
      <c r="E716" s="36"/>
      <c r="F716" s="36"/>
      <c r="G716" s="36"/>
      <c r="H716" s="36"/>
      <c r="I716" s="19">
        <f>SUM(I714:I715)</f>
        <v>4</v>
      </c>
    </row>
    <row r="717" spans="1:31" s="10" customFormat="1" x14ac:dyDescent="0.2">
      <c r="A717" s="32"/>
      <c r="B717" s="265"/>
      <c r="C717" s="265"/>
      <c r="D717" s="265"/>
      <c r="E717" s="267"/>
      <c r="F717" s="267"/>
      <c r="G717" s="267"/>
      <c r="H717" s="267"/>
      <c r="I717" s="267"/>
    </row>
    <row r="718" spans="1:31" s="10" customFormat="1" ht="33.75" x14ac:dyDescent="0.2">
      <c r="A718" s="268" t="s">
        <v>282</v>
      </c>
      <c r="B718" s="269" t="s">
        <v>59</v>
      </c>
      <c r="C718" s="270" t="s">
        <v>542</v>
      </c>
      <c r="D718" s="271" t="s">
        <v>115</v>
      </c>
      <c r="E718" s="19"/>
      <c r="F718" s="272"/>
      <c r="G718" s="272"/>
      <c r="H718" s="19"/>
      <c r="I718" s="19"/>
      <c r="J718" s="31"/>
      <c r="L718" s="31"/>
      <c r="AE718" s="31" t="s">
        <v>152</v>
      </c>
    </row>
    <row r="719" spans="1:31" s="10" customFormat="1" x14ac:dyDescent="0.2">
      <c r="A719" s="32"/>
      <c r="B719" s="265"/>
      <c r="C719" s="273" t="s">
        <v>408</v>
      </c>
      <c r="D719" s="44"/>
      <c r="E719" s="36">
        <v>1</v>
      </c>
      <c r="F719" s="36"/>
      <c r="G719" s="36"/>
      <c r="H719" s="36"/>
      <c r="I719" s="36">
        <f>ROUND(PRODUCT(E719:H719),2)</f>
        <v>1</v>
      </c>
    </row>
    <row r="720" spans="1:31" s="10" customFormat="1" x14ac:dyDescent="0.2">
      <c r="A720" s="32"/>
      <c r="B720" s="265"/>
      <c r="C720" s="273" t="s">
        <v>409</v>
      </c>
      <c r="D720" s="44"/>
      <c r="E720" s="36">
        <v>1</v>
      </c>
      <c r="F720" s="36"/>
      <c r="G720" s="36"/>
      <c r="H720" s="36"/>
      <c r="I720" s="36">
        <f>ROUND(PRODUCT(E720:H720),2)</f>
        <v>1</v>
      </c>
    </row>
    <row r="721" spans="1:31" s="10" customFormat="1" x14ac:dyDescent="0.2">
      <c r="A721" s="32"/>
      <c r="B721" s="265"/>
      <c r="C721" s="45" t="str">
        <f>"Total item "&amp;A718</f>
        <v>Total item 12.6</v>
      </c>
      <c r="D721" s="44"/>
      <c r="E721" s="36"/>
      <c r="F721" s="36"/>
      <c r="G721" s="36"/>
      <c r="H721" s="36"/>
      <c r="I721" s="19">
        <f>SUM(I719:I720)</f>
        <v>2</v>
      </c>
    </row>
    <row r="722" spans="1:31" s="10" customFormat="1" x14ac:dyDescent="0.2">
      <c r="A722" s="32"/>
      <c r="B722" s="265"/>
      <c r="C722" s="266"/>
      <c r="D722" s="33"/>
      <c r="E722" s="267"/>
      <c r="F722" s="267"/>
      <c r="G722" s="267"/>
      <c r="H722" s="267"/>
      <c r="I722" s="267"/>
    </row>
    <row r="723" spans="1:31" s="10" customFormat="1" ht="33.75" x14ac:dyDescent="0.2">
      <c r="A723" s="268" t="s">
        <v>167</v>
      </c>
      <c r="B723" s="269" t="s">
        <v>59</v>
      </c>
      <c r="C723" s="270" t="s">
        <v>545</v>
      </c>
      <c r="D723" s="271" t="s">
        <v>109</v>
      </c>
      <c r="E723" s="19"/>
      <c r="F723" s="272"/>
      <c r="G723" s="272"/>
      <c r="H723" s="19"/>
      <c r="I723" s="19"/>
      <c r="J723" s="31"/>
      <c r="L723" s="31"/>
      <c r="AE723" s="31" t="s">
        <v>152</v>
      </c>
    </row>
    <row r="724" spans="1:31" s="10" customFormat="1" x14ac:dyDescent="0.2">
      <c r="A724" s="32"/>
      <c r="B724" s="265"/>
      <c r="C724" s="273" t="s">
        <v>412</v>
      </c>
      <c r="D724" s="44"/>
      <c r="E724" s="36">
        <v>2</v>
      </c>
      <c r="F724" s="36">
        <v>6</v>
      </c>
      <c r="G724" s="36"/>
      <c r="H724" s="36">
        <v>2.5</v>
      </c>
      <c r="I724" s="36">
        <f>ROUND(PRODUCT(E724:H724),2)</f>
        <v>30</v>
      </c>
    </row>
    <row r="725" spans="1:31" s="10" customFormat="1" x14ac:dyDescent="0.2">
      <c r="A725" s="32"/>
      <c r="B725" s="265"/>
      <c r="C725" s="45" t="str">
        <f>"Total item "&amp;A723</f>
        <v>Total item 12.7</v>
      </c>
      <c r="D725" s="44"/>
      <c r="E725" s="36"/>
      <c r="F725" s="36"/>
      <c r="G725" s="36"/>
      <c r="H725" s="36"/>
      <c r="I725" s="19">
        <f>SUM(I724:I724)</f>
        <v>30</v>
      </c>
    </row>
    <row r="726" spans="1:31" s="10" customFormat="1" x14ac:dyDescent="0.2">
      <c r="A726" s="32"/>
      <c r="B726" s="265"/>
      <c r="C726" s="266"/>
      <c r="D726" s="33"/>
      <c r="E726" s="267"/>
      <c r="F726" s="267"/>
      <c r="G726" s="267"/>
      <c r="H726" s="267"/>
      <c r="I726" s="267"/>
    </row>
    <row r="727" spans="1:31" s="10" customFormat="1" ht="45" x14ac:dyDescent="0.2">
      <c r="A727" s="268" t="s">
        <v>168</v>
      </c>
      <c r="B727" s="269" t="s">
        <v>59</v>
      </c>
      <c r="C727" s="270" t="s">
        <v>755</v>
      </c>
      <c r="D727" s="271" t="s">
        <v>115</v>
      </c>
      <c r="E727" s="19"/>
      <c r="F727" s="272"/>
      <c r="G727" s="272"/>
      <c r="H727" s="19"/>
      <c r="I727" s="19"/>
      <c r="J727" s="31"/>
      <c r="L727" s="31"/>
      <c r="AE727" s="31" t="s">
        <v>152</v>
      </c>
    </row>
    <row r="728" spans="1:31" s="10" customFormat="1" x14ac:dyDescent="0.2">
      <c r="A728" s="32"/>
      <c r="B728" s="265"/>
      <c r="C728" s="273"/>
      <c r="D728" s="44"/>
      <c r="E728" s="36"/>
      <c r="F728" s="36">
        <v>50</v>
      </c>
      <c r="G728" s="36"/>
      <c r="H728" s="36"/>
      <c r="I728" s="36">
        <f>ROUND(PRODUCT(E728:H728),2)</f>
        <v>50</v>
      </c>
    </row>
    <row r="729" spans="1:31" s="10" customFormat="1" x14ac:dyDescent="0.2">
      <c r="A729" s="32"/>
      <c r="B729" s="265"/>
      <c r="C729" s="45" t="str">
        <f>"Total item "&amp;A727</f>
        <v>Total item 12.8</v>
      </c>
      <c r="D729" s="44"/>
      <c r="E729" s="36"/>
      <c r="F729" s="36"/>
      <c r="G729" s="36"/>
      <c r="H729" s="36"/>
      <c r="I729" s="19">
        <f>SUM(I728:I728)</f>
        <v>50</v>
      </c>
    </row>
    <row r="730" spans="1:31" s="10" customFormat="1" x14ac:dyDescent="0.2">
      <c r="A730" s="32"/>
      <c r="B730" s="265"/>
      <c r="C730" s="266"/>
      <c r="D730" s="33"/>
      <c r="E730" s="267"/>
      <c r="F730" s="267"/>
      <c r="G730" s="267"/>
      <c r="H730" s="267"/>
      <c r="I730" s="267"/>
    </row>
    <row r="731" spans="1:31" s="10" customFormat="1" ht="45" x14ac:dyDescent="0.2">
      <c r="A731" s="268" t="s">
        <v>825</v>
      </c>
      <c r="B731" s="269" t="s">
        <v>59</v>
      </c>
      <c r="C731" s="270" t="s">
        <v>547</v>
      </c>
      <c r="D731" s="271" t="s">
        <v>115</v>
      </c>
      <c r="E731" s="19"/>
      <c r="F731" s="272"/>
      <c r="G731" s="272"/>
      <c r="H731" s="19"/>
      <c r="I731" s="19"/>
      <c r="J731" s="31"/>
      <c r="L731" s="31"/>
      <c r="AE731" s="31" t="s">
        <v>152</v>
      </c>
    </row>
    <row r="732" spans="1:31" s="10" customFormat="1" x14ac:dyDescent="0.2">
      <c r="A732" s="32"/>
      <c r="B732" s="265"/>
      <c r="C732" s="273" t="s">
        <v>413</v>
      </c>
      <c r="D732" s="44"/>
      <c r="E732" s="36"/>
      <c r="F732" s="36">
        <v>5</v>
      </c>
      <c r="G732" s="36"/>
      <c r="H732" s="36"/>
      <c r="I732" s="36">
        <f>ROUND(PRODUCT(E732:H732),2)</f>
        <v>5</v>
      </c>
    </row>
    <row r="733" spans="1:31" s="10" customFormat="1" x14ac:dyDescent="0.2">
      <c r="A733" s="32"/>
      <c r="B733" s="265"/>
      <c r="C733" s="273" t="s">
        <v>414</v>
      </c>
      <c r="D733" s="44"/>
      <c r="E733" s="36"/>
      <c r="F733" s="36">
        <v>1</v>
      </c>
      <c r="G733" s="36"/>
      <c r="H733" s="36"/>
      <c r="I733" s="36">
        <f>ROUND(PRODUCT(E733:H733),2)</f>
        <v>1</v>
      </c>
    </row>
    <row r="734" spans="1:31" s="10" customFormat="1" x14ac:dyDescent="0.2">
      <c r="A734" s="32"/>
      <c r="B734" s="265"/>
      <c r="C734" s="45" t="str">
        <f>"Total item "&amp;A731</f>
        <v>Total item 12.9</v>
      </c>
      <c r="D734" s="44"/>
      <c r="E734" s="36"/>
      <c r="F734" s="36"/>
      <c r="G734" s="36"/>
      <c r="H734" s="36"/>
      <c r="I734" s="19">
        <f>SUM(I732:I733)</f>
        <v>6</v>
      </c>
    </row>
    <row r="735" spans="1:31" s="10" customFormat="1" x14ac:dyDescent="0.2">
      <c r="A735" s="32"/>
      <c r="B735" s="265"/>
      <c r="C735" s="266"/>
      <c r="D735" s="33"/>
      <c r="E735" s="267"/>
      <c r="F735" s="267"/>
      <c r="G735" s="267"/>
      <c r="H735" s="267"/>
      <c r="I735" s="267"/>
    </row>
    <row r="736" spans="1:31" s="31" customFormat="1" ht="33.75" x14ac:dyDescent="0.2">
      <c r="A736" s="268" t="s">
        <v>826</v>
      </c>
      <c r="B736" s="269" t="s">
        <v>272</v>
      </c>
      <c r="C736" s="270" t="s">
        <v>346</v>
      </c>
      <c r="D736" s="271" t="s">
        <v>115</v>
      </c>
      <c r="E736" s="19"/>
      <c r="F736" s="272"/>
      <c r="G736" s="19"/>
      <c r="H736" s="19"/>
      <c r="I736" s="19"/>
      <c r="AE736" s="31" t="s">
        <v>154</v>
      </c>
    </row>
    <row r="737" spans="1:31" s="10" customFormat="1" x14ac:dyDescent="0.2">
      <c r="A737" s="32"/>
      <c r="B737" s="265"/>
      <c r="C737" s="45" t="s">
        <v>243</v>
      </c>
      <c r="D737" s="44"/>
      <c r="E737" s="36">
        <v>6</v>
      </c>
      <c r="F737" s="36"/>
      <c r="G737" s="36"/>
      <c r="H737" s="36"/>
      <c r="I737" s="36">
        <f>ROUND(PRODUCT(E737:H737),2)</f>
        <v>6</v>
      </c>
    </row>
    <row r="738" spans="1:31" s="10" customFormat="1" x14ac:dyDescent="0.2">
      <c r="A738" s="32"/>
      <c r="B738" s="265"/>
      <c r="C738" s="45" t="str">
        <f>"Total item "&amp;A736</f>
        <v>Total item 12.10</v>
      </c>
      <c r="D738" s="44"/>
      <c r="E738" s="36"/>
      <c r="F738" s="36"/>
      <c r="G738" s="36"/>
      <c r="H738" s="36"/>
      <c r="I738" s="19">
        <f>SUM(I737:I737)</f>
        <v>6</v>
      </c>
    </row>
    <row r="739" spans="1:31" s="10" customFormat="1" x14ac:dyDescent="0.2">
      <c r="A739" s="32"/>
      <c r="B739" s="265"/>
      <c r="C739" s="266"/>
      <c r="D739" s="33"/>
      <c r="E739" s="267"/>
      <c r="F739" s="267"/>
      <c r="G739" s="267"/>
      <c r="H739" s="267"/>
      <c r="I739" s="267"/>
    </row>
    <row r="740" spans="1:31" s="10" customFormat="1" ht="22.5" x14ac:dyDescent="0.2">
      <c r="A740" s="268" t="s">
        <v>827</v>
      </c>
      <c r="B740" s="269" t="s">
        <v>59</v>
      </c>
      <c r="C740" s="270" t="s">
        <v>158</v>
      </c>
      <c r="D740" s="271" t="s">
        <v>48</v>
      </c>
      <c r="E740" s="19"/>
      <c r="F740" s="272"/>
      <c r="G740" s="272"/>
      <c r="H740" s="19"/>
      <c r="I740" s="19"/>
      <c r="J740" s="31"/>
      <c r="L740" s="31"/>
      <c r="AE740" s="31" t="s">
        <v>153</v>
      </c>
    </row>
    <row r="741" spans="1:31" s="10" customFormat="1" x14ac:dyDescent="0.2">
      <c r="A741" s="32"/>
      <c r="B741" s="265"/>
      <c r="C741" s="273" t="s">
        <v>408</v>
      </c>
      <c r="D741" s="44"/>
      <c r="E741" s="36">
        <v>7</v>
      </c>
      <c r="F741" s="36"/>
      <c r="G741" s="36"/>
      <c r="H741" s="36"/>
      <c r="I741" s="36">
        <f>ROUND(PRODUCT(E741:H741),2)</f>
        <v>7</v>
      </c>
    </row>
    <row r="742" spans="1:31" s="10" customFormat="1" x14ac:dyDescent="0.2">
      <c r="A742" s="32"/>
      <c r="B742" s="265"/>
      <c r="C742" s="273" t="s">
        <v>409</v>
      </c>
      <c r="D742" s="44"/>
      <c r="E742" s="36">
        <v>7</v>
      </c>
      <c r="F742" s="36"/>
      <c r="G742" s="36"/>
      <c r="H742" s="36"/>
      <c r="I742" s="36">
        <f>ROUND(PRODUCT(E742:H742),2)</f>
        <v>7</v>
      </c>
    </row>
    <row r="743" spans="1:31" s="10" customFormat="1" x14ac:dyDescent="0.2">
      <c r="A743" s="32"/>
      <c r="B743" s="265"/>
      <c r="C743" s="45" t="str">
        <f>"Total item "&amp;A740</f>
        <v>Total item 12.11</v>
      </c>
      <c r="D743" s="44"/>
      <c r="E743" s="36"/>
      <c r="F743" s="36"/>
      <c r="G743" s="36"/>
      <c r="H743" s="36"/>
      <c r="I743" s="19">
        <f>SUM(I741:I742)</f>
        <v>14</v>
      </c>
    </row>
    <row r="744" spans="1:31" s="10" customFormat="1" x14ac:dyDescent="0.2">
      <c r="A744" s="32"/>
      <c r="B744" s="265"/>
      <c r="C744" s="265"/>
      <c r="D744" s="33"/>
      <c r="E744" s="267"/>
      <c r="F744" s="267"/>
      <c r="G744" s="267"/>
      <c r="H744" s="267"/>
      <c r="I744" s="267"/>
    </row>
    <row r="745" spans="1:31" s="10" customFormat="1" ht="33.75" x14ac:dyDescent="0.2">
      <c r="A745" s="268" t="s">
        <v>828</v>
      </c>
      <c r="B745" s="269" t="s">
        <v>59</v>
      </c>
      <c r="C745" s="270" t="s">
        <v>344</v>
      </c>
      <c r="D745" s="271" t="s">
        <v>48</v>
      </c>
      <c r="E745" s="19"/>
      <c r="F745" s="272"/>
      <c r="G745" s="272"/>
      <c r="H745" s="19"/>
      <c r="I745" s="19"/>
      <c r="J745" s="31"/>
      <c r="L745" s="31"/>
      <c r="AE745" s="31" t="s">
        <v>153</v>
      </c>
    </row>
    <row r="746" spans="1:31" s="10" customFormat="1" x14ac:dyDescent="0.2">
      <c r="A746" s="32"/>
      <c r="B746" s="265"/>
      <c r="C746" s="273" t="s">
        <v>408</v>
      </c>
      <c r="D746" s="44"/>
      <c r="E746" s="36">
        <v>1</v>
      </c>
      <c r="F746" s="36"/>
      <c r="G746" s="36"/>
      <c r="H746" s="36"/>
      <c r="I746" s="36">
        <f>ROUND(PRODUCT(E746:H746),2)</f>
        <v>1</v>
      </c>
    </row>
    <row r="747" spans="1:31" s="10" customFormat="1" x14ac:dyDescent="0.2">
      <c r="A747" s="32"/>
      <c r="B747" s="265"/>
      <c r="C747" s="273" t="s">
        <v>409</v>
      </c>
      <c r="D747" s="44"/>
      <c r="E747" s="36">
        <v>1</v>
      </c>
      <c r="F747" s="36"/>
      <c r="G747" s="36"/>
      <c r="H747" s="36"/>
      <c r="I747" s="36">
        <f>ROUND(PRODUCT(E747:H747),2)</f>
        <v>1</v>
      </c>
    </row>
    <row r="748" spans="1:31" s="10" customFormat="1" x14ac:dyDescent="0.2">
      <c r="A748" s="32"/>
      <c r="B748" s="265"/>
      <c r="C748" s="45" t="str">
        <f>"Total item "&amp;A745</f>
        <v>Total item 12.12</v>
      </c>
      <c r="D748" s="44"/>
      <c r="E748" s="36"/>
      <c r="F748" s="36"/>
      <c r="G748" s="36"/>
      <c r="H748" s="36"/>
      <c r="I748" s="19">
        <f>SUM(I746:I747)</f>
        <v>2</v>
      </c>
    </row>
    <row r="749" spans="1:31" s="10" customFormat="1" x14ac:dyDescent="0.2">
      <c r="A749" s="32"/>
      <c r="B749" s="265"/>
      <c r="C749" s="266"/>
      <c r="D749" s="33"/>
      <c r="E749" s="267"/>
      <c r="F749" s="267"/>
      <c r="G749" s="267"/>
      <c r="H749" s="267"/>
      <c r="I749" s="267"/>
    </row>
    <row r="750" spans="1:31" s="263" customFormat="1" ht="10.5" customHeight="1" x14ac:dyDescent="0.2">
      <c r="A750" s="252" t="s">
        <v>242</v>
      </c>
      <c r="B750" s="253"/>
      <c r="C750" s="254" t="s">
        <v>47</v>
      </c>
      <c r="D750" s="255"/>
      <c r="E750" s="256"/>
      <c r="F750" s="256"/>
      <c r="G750" s="256"/>
      <c r="H750" s="256"/>
      <c r="I750" s="256"/>
      <c r="J750" s="261" t="s">
        <v>110</v>
      </c>
      <c r="K750" s="262" t="s">
        <v>160</v>
      </c>
      <c r="AE750" s="264"/>
    </row>
    <row r="751" spans="1:31" s="10" customFormat="1" x14ac:dyDescent="0.2">
      <c r="A751" s="32"/>
      <c r="B751" s="265"/>
      <c r="C751" s="266"/>
      <c r="D751" s="33"/>
      <c r="E751" s="267"/>
      <c r="F751" s="267"/>
      <c r="G751" s="267"/>
      <c r="H751" s="267"/>
      <c r="I751" s="267"/>
    </row>
    <row r="752" spans="1:31" s="31" customFormat="1" ht="33.75" x14ac:dyDescent="0.2">
      <c r="A752" s="268" t="s">
        <v>113</v>
      </c>
      <c r="B752" s="269" t="s">
        <v>59</v>
      </c>
      <c r="C752" s="270" t="s">
        <v>552</v>
      </c>
      <c r="D752" s="271" t="s">
        <v>115</v>
      </c>
      <c r="E752" s="19"/>
      <c r="F752" s="272"/>
      <c r="G752" s="19"/>
      <c r="H752" s="19"/>
      <c r="I752" s="19"/>
      <c r="AE752" s="31" t="s">
        <v>154</v>
      </c>
    </row>
    <row r="753" spans="1:31" s="10" customFormat="1" x14ac:dyDescent="0.2">
      <c r="A753" s="32"/>
      <c r="B753" s="265"/>
      <c r="C753" s="45"/>
      <c r="D753" s="44"/>
      <c r="E753" s="36">
        <v>3</v>
      </c>
      <c r="F753" s="36"/>
      <c r="G753" s="36"/>
      <c r="H753" s="36"/>
      <c r="I753" s="36">
        <f>ROUND(PRODUCT(E753:H753),2)</f>
        <v>3</v>
      </c>
    </row>
    <row r="754" spans="1:31" s="10" customFormat="1" x14ac:dyDescent="0.2">
      <c r="A754" s="32"/>
      <c r="B754" s="265"/>
      <c r="C754" s="45" t="str">
        <f>"Total item "&amp;A752</f>
        <v>Total item 13.1</v>
      </c>
      <c r="D754" s="44"/>
      <c r="E754" s="36"/>
      <c r="F754" s="36"/>
      <c r="G754" s="36"/>
      <c r="H754" s="36"/>
      <c r="I754" s="19">
        <f>SUM(I753:I753)</f>
        <v>3</v>
      </c>
    </row>
    <row r="755" spans="1:31" s="10" customFormat="1" x14ac:dyDescent="0.2">
      <c r="A755" s="32"/>
      <c r="B755" s="265"/>
      <c r="C755" s="266"/>
      <c r="D755" s="33"/>
      <c r="E755" s="267"/>
      <c r="F755" s="267"/>
      <c r="G755" s="267"/>
      <c r="H755" s="267"/>
      <c r="I755" s="267"/>
    </row>
    <row r="756" spans="1:31" s="31" customFormat="1" ht="33.75" x14ac:dyDescent="0.2">
      <c r="A756" s="268" t="s">
        <v>283</v>
      </c>
      <c r="B756" s="269" t="s">
        <v>59</v>
      </c>
      <c r="C756" s="270" t="s">
        <v>555</v>
      </c>
      <c r="D756" s="271" t="s">
        <v>115</v>
      </c>
      <c r="E756" s="19"/>
      <c r="F756" s="272"/>
      <c r="G756" s="19"/>
      <c r="H756" s="19"/>
      <c r="I756" s="19"/>
      <c r="AE756" s="31" t="s">
        <v>154</v>
      </c>
    </row>
    <row r="757" spans="1:31" s="10" customFormat="1" x14ac:dyDescent="0.2">
      <c r="A757" s="32"/>
      <c r="B757" s="265"/>
      <c r="C757" s="45"/>
      <c r="D757" s="44"/>
      <c r="E757" s="36">
        <v>4</v>
      </c>
      <c r="F757" s="36"/>
      <c r="G757" s="36"/>
      <c r="H757" s="36"/>
      <c r="I757" s="36">
        <f>ROUND(PRODUCT(E757:H757),2)</f>
        <v>4</v>
      </c>
    </row>
    <row r="758" spans="1:31" s="10" customFormat="1" x14ac:dyDescent="0.2">
      <c r="A758" s="32"/>
      <c r="B758" s="265"/>
      <c r="C758" s="45" t="str">
        <f>"Total item "&amp;A756</f>
        <v>Total item 13.2</v>
      </c>
      <c r="D758" s="44"/>
      <c r="E758" s="36"/>
      <c r="F758" s="36"/>
      <c r="G758" s="36"/>
      <c r="H758" s="36"/>
      <c r="I758" s="19">
        <f>SUM(I757:I757)</f>
        <v>4</v>
      </c>
    </row>
    <row r="759" spans="1:31" s="10" customFormat="1" x14ac:dyDescent="0.2">
      <c r="A759" s="32"/>
      <c r="B759" s="265"/>
      <c r="C759" s="266"/>
      <c r="D759" s="33"/>
      <c r="E759" s="267"/>
      <c r="F759" s="267"/>
      <c r="G759" s="267"/>
      <c r="H759" s="267"/>
      <c r="I759" s="267"/>
    </row>
    <row r="760" spans="1:31" s="31" customFormat="1" ht="22.5" x14ac:dyDescent="0.2">
      <c r="A760" s="268" t="s">
        <v>831</v>
      </c>
      <c r="B760" s="269" t="s">
        <v>59</v>
      </c>
      <c r="C760" s="270" t="s">
        <v>829</v>
      </c>
      <c r="D760" s="271" t="s">
        <v>115</v>
      </c>
      <c r="E760" s="19"/>
      <c r="F760" s="272"/>
      <c r="G760" s="19"/>
      <c r="H760" s="19"/>
      <c r="I760" s="19"/>
      <c r="AE760" s="31" t="s">
        <v>154</v>
      </c>
    </row>
    <row r="761" spans="1:31" s="10" customFormat="1" x14ac:dyDescent="0.2">
      <c r="A761" s="32"/>
      <c r="B761" s="265"/>
      <c r="C761" s="45"/>
      <c r="D761" s="44"/>
      <c r="E761" s="36">
        <v>1</v>
      </c>
      <c r="F761" s="36"/>
      <c r="G761" s="36"/>
      <c r="H761" s="36"/>
      <c r="I761" s="36">
        <f>ROUND(PRODUCT(E761:H761),2)</f>
        <v>1</v>
      </c>
    </row>
    <row r="762" spans="1:31" s="10" customFormat="1" x14ac:dyDescent="0.2">
      <c r="A762" s="32"/>
      <c r="B762" s="265"/>
      <c r="C762" s="45" t="str">
        <f>"Total item "&amp;A760</f>
        <v>Total item 13.3</v>
      </c>
      <c r="D762" s="44"/>
      <c r="E762" s="36"/>
      <c r="F762" s="36"/>
      <c r="G762" s="36"/>
      <c r="H762" s="36"/>
      <c r="I762" s="19">
        <f>SUM(I761:I761)</f>
        <v>1</v>
      </c>
    </row>
    <row r="763" spans="1:31" s="10" customFormat="1" x14ac:dyDescent="0.2">
      <c r="A763" s="32"/>
      <c r="B763" s="265"/>
      <c r="C763" s="266"/>
      <c r="D763" s="33"/>
      <c r="E763" s="267"/>
      <c r="F763" s="267"/>
      <c r="G763" s="267"/>
      <c r="H763" s="267"/>
      <c r="I763" s="267"/>
    </row>
    <row r="764" spans="1:31" s="10" customFormat="1" x14ac:dyDescent="0.2">
      <c r="A764" s="252" t="s">
        <v>734</v>
      </c>
      <c r="B764" s="253"/>
      <c r="C764" s="254" t="s">
        <v>735</v>
      </c>
      <c r="D764" s="255"/>
      <c r="E764" s="256"/>
      <c r="F764" s="256"/>
      <c r="G764" s="256"/>
      <c r="H764" s="256"/>
      <c r="I764" s="256"/>
    </row>
    <row r="765" spans="1:31" s="10" customFormat="1" x14ac:dyDescent="0.2">
      <c r="A765" s="32"/>
      <c r="B765" s="265"/>
      <c r="C765" s="266"/>
      <c r="D765" s="33"/>
      <c r="E765" s="267"/>
      <c r="F765" s="267"/>
      <c r="G765" s="267"/>
      <c r="H765" s="267"/>
      <c r="I765" s="267"/>
    </row>
    <row r="766" spans="1:31" s="10" customFormat="1" ht="22.5" x14ac:dyDescent="0.2">
      <c r="A766" s="268" t="s">
        <v>736</v>
      </c>
      <c r="B766" s="269" t="s">
        <v>59</v>
      </c>
      <c r="C766" s="270" t="s">
        <v>747</v>
      </c>
      <c r="D766" s="271" t="s">
        <v>661</v>
      </c>
      <c r="E766" s="19"/>
      <c r="F766" s="272"/>
      <c r="G766" s="19"/>
      <c r="H766" s="19"/>
      <c r="I766" s="19"/>
    </row>
    <row r="767" spans="1:31" s="10" customFormat="1" x14ac:dyDescent="0.2">
      <c r="A767" s="32"/>
      <c r="B767" s="265"/>
      <c r="C767" s="273" t="s">
        <v>757</v>
      </c>
      <c r="D767" s="44"/>
      <c r="E767" s="36"/>
      <c r="F767" s="36">
        <v>2.6</v>
      </c>
      <c r="G767" s="36">
        <v>1.8</v>
      </c>
      <c r="H767" s="36">
        <v>2</v>
      </c>
      <c r="I767" s="36">
        <f>ROUND(PRODUCT(E767:H767),2)</f>
        <v>9.36</v>
      </c>
    </row>
    <row r="768" spans="1:31" s="10" customFormat="1" x14ac:dyDescent="0.2">
      <c r="A768" s="32"/>
      <c r="B768" s="265"/>
      <c r="C768" s="273" t="s">
        <v>758</v>
      </c>
      <c r="D768" s="44"/>
      <c r="E768" s="36"/>
      <c r="F768" s="36">
        <v>2.6</v>
      </c>
      <c r="G768" s="36">
        <v>2.2000000000000002</v>
      </c>
      <c r="H768" s="36">
        <v>2.2000000000000002</v>
      </c>
      <c r="I768" s="36">
        <f>ROUND(PRODUCT(E768:H768),2)</f>
        <v>12.58</v>
      </c>
    </row>
    <row r="769" spans="1:9" s="10" customFormat="1" x14ac:dyDescent="0.2">
      <c r="A769" s="32"/>
      <c r="B769" s="265"/>
      <c r="C769" s="273" t="s">
        <v>759</v>
      </c>
      <c r="D769" s="44"/>
      <c r="E769" s="36">
        <v>12</v>
      </c>
      <c r="F769" s="36">
        <v>0.7</v>
      </c>
      <c r="G769" s="36">
        <v>0.7</v>
      </c>
      <c r="H769" s="36">
        <v>0.2</v>
      </c>
      <c r="I769" s="36">
        <f>ROUND(PRODUCT(E769:H769),2)</f>
        <v>1.18</v>
      </c>
    </row>
    <row r="770" spans="1:9" s="10" customFormat="1" x14ac:dyDescent="0.2">
      <c r="A770" s="32"/>
      <c r="B770" s="265"/>
      <c r="C770" s="45" t="str">
        <f>"Total item "&amp;A766</f>
        <v>Total item 14.1</v>
      </c>
      <c r="D770" s="44"/>
      <c r="E770" s="36"/>
      <c r="F770" s="36"/>
      <c r="G770" s="36"/>
      <c r="H770" s="36"/>
      <c r="I770" s="19">
        <f>SUM(I767:I769)</f>
        <v>23.119999999999997</v>
      </c>
    </row>
    <row r="771" spans="1:9" s="10" customFormat="1" x14ac:dyDescent="0.2">
      <c r="A771" s="32"/>
      <c r="B771" s="265"/>
      <c r="C771" s="266"/>
      <c r="D771" s="33"/>
      <c r="E771" s="267"/>
      <c r="F771" s="267"/>
      <c r="G771" s="267"/>
      <c r="H771" s="267"/>
      <c r="I771" s="267"/>
    </row>
    <row r="772" spans="1:9" s="10" customFormat="1" ht="33.75" x14ac:dyDescent="0.2">
      <c r="A772" s="268" t="s">
        <v>737</v>
      </c>
      <c r="B772" s="269" t="s">
        <v>59</v>
      </c>
      <c r="C772" s="270" t="s">
        <v>748</v>
      </c>
      <c r="D772" s="271" t="s">
        <v>763</v>
      </c>
      <c r="E772" s="19"/>
      <c r="F772" s="272"/>
      <c r="G772" s="19"/>
      <c r="H772" s="19"/>
      <c r="I772" s="19"/>
    </row>
    <row r="773" spans="1:9" s="10" customFormat="1" x14ac:dyDescent="0.2">
      <c r="A773" s="32"/>
      <c r="B773" s="265"/>
      <c r="C773" s="273" t="s">
        <v>761</v>
      </c>
      <c r="D773" s="44"/>
      <c r="E773" s="36"/>
      <c r="F773" s="36">
        <v>2.6</v>
      </c>
      <c r="G773" s="36">
        <v>1.8</v>
      </c>
      <c r="H773" s="36"/>
      <c r="I773" s="36">
        <f t="shared" ref="I773:I778" si="19">ROUND(PRODUCT(E773:H773),2)</f>
        <v>4.68</v>
      </c>
    </row>
    <row r="774" spans="1:9" s="10" customFormat="1" x14ac:dyDescent="0.2">
      <c r="A774" s="32"/>
      <c r="B774" s="265"/>
      <c r="C774" s="273" t="s">
        <v>762</v>
      </c>
      <c r="D774" s="44"/>
      <c r="E774" s="36"/>
      <c r="F774" s="36">
        <v>2.6</v>
      </c>
      <c r="G774" s="36">
        <v>2.2000000000000002</v>
      </c>
      <c r="H774" s="36"/>
      <c r="I774" s="36">
        <f t="shared" si="19"/>
        <v>5.72</v>
      </c>
    </row>
    <row r="775" spans="1:9" s="10" customFormat="1" x14ac:dyDescent="0.2">
      <c r="A775" s="32"/>
      <c r="B775" s="265"/>
      <c r="C775" s="273" t="s">
        <v>759</v>
      </c>
      <c r="D775" s="44"/>
      <c r="E775" s="36">
        <v>12</v>
      </c>
      <c r="F775" s="36">
        <v>0.7</v>
      </c>
      <c r="G775" s="36">
        <v>0.7</v>
      </c>
      <c r="H775" s="36"/>
      <c r="I775" s="36">
        <f t="shared" si="19"/>
        <v>5.88</v>
      </c>
    </row>
    <row r="776" spans="1:9" s="10" customFormat="1" x14ac:dyDescent="0.2">
      <c r="A776" s="32"/>
      <c r="B776" s="265"/>
      <c r="C776" s="273" t="s">
        <v>760</v>
      </c>
      <c r="D776" s="44"/>
      <c r="E776" s="36">
        <v>4</v>
      </c>
      <c r="F776" s="36">
        <v>2.6</v>
      </c>
      <c r="G776" s="36">
        <v>0.2</v>
      </c>
      <c r="H776" s="36"/>
      <c r="I776" s="36">
        <f t="shared" si="19"/>
        <v>2.08</v>
      </c>
    </row>
    <row r="777" spans="1:9" s="10" customFormat="1" x14ac:dyDescent="0.2">
      <c r="A777" s="32"/>
      <c r="B777" s="265"/>
      <c r="C777" s="273"/>
      <c r="D777" s="44"/>
      <c r="E777" s="36">
        <v>2</v>
      </c>
      <c r="F777" s="36">
        <v>1.8</v>
      </c>
      <c r="G777" s="36">
        <v>0.2</v>
      </c>
      <c r="H777" s="36"/>
      <c r="I777" s="36">
        <f t="shared" si="19"/>
        <v>0.72</v>
      </c>
    </row>
    <row r="778" spans="1:9" s="10" customFormat="1" x14ac:dyDescent="0.2">
      <c r="A778" s="32"/>
      <c r="B778" s="265"/>
      <c r="C778" s="273"/>
      <c r="D778" s="44"/>
      <c r="E778" s="36">
        <v>2</v>
      </c>
      <c r="F778" s="36">
        <v>2</v>
      </c>
      <c r="G778" s="36">
        <v>0.2</v>
      </c>
      <c r="H778" s="36"/>
      <c r="I778" s="36">
        <f t="shared" si="19"/>
        <v>0.8</v>
      </c>
    </row>
    <row r="779" spans="1:9" s="10" customFormat="1" x14ac:dyDescent="0.2">
      <c r="A779" s="32"/>
      <c r="B779" s="265"/>
      <c r="C779" s="45" t="str">
        <f>"Total item "&amp;A772</f>
        <v>Total item 14.2</v>
      </c>
      <c r="D779" s="44"/>
      <c r="E779" s="36"/>
      <c r="F779" s="36"/>
      <c r="G779" s="36"/>
      <c r="H779" s="36"/>
      <c r="I779" s="19">
        <f>SUM(I773:I778)</f>
        <v>19.88</v>
      </c>
    </row>
    <row r="780" spans="1:9" s="10" customFormat="1" x14ac:dyDescent="0.2">
      <c r="A780" s="32"/>
      <c r="B780" s="265"/>
      <c r="C780" s="266"/>
      <c r="D780" s="33"/>
      <c r="E780" s="267"/>
      <c r="F780" s="267"/>
      <c r="G780" s="267"/>
      <c r="H780" s="267"/>
      <c r="I780" s="267"/>
    </row>
    <row r="781" spans="1:9" s="10" customFormat="1" ht="45" x14ac:dyDescent="0.2">
      <c r="A781" s="268" t="s">
        <v>738</v>
      </c>
      <c r="B781" s="269" t="s">
        <v>246</v>
      </c>
      <c r="C781" s="270" t="s">
        <v>749</v>
      </c>
      <c r="D781" s="271" t="s">
        <v>112</v>
      </c>
      <c r="E781" s="19"/>
      <c r="F781" s="272"/>
      <c r="G781" s="19"/>
      <c r="H781" s="19"/>
      <c r="I781" s="19"/>
    </row>
    <row r="782" spans="1:9" s="10" customFormat="1" x14ac:dyDescent="0.2">
      <c r="A782" s="32"/>
      <c r="B782" s="265"/>
      <c r="C782" s="273" t="s">
        <v>757</v>
      </c>
      <c r="D782" s="44"/>
      <c r="E782" s="36"/>
      <c r="F782" s="36">
        <v>2.6</v>
      </c>
      <c r="G782" s="36">
        <v>1.8</v>
      </c>
      <c r="H782" s="36">
        <v>2</v>
      </c>
      <c r="I782" s="36">
        <f>ROUND(PRODUCT(E782:H782),2)</f>
        <v>9.36</v>
      </c>
    </row>
    <row r="783" spans="1:9" s="10" customFormat="1" x14ac:dyDescent="0.2">
      <c r="A783" s="32"/>
      <c r="B783" s="265"/>
      <c r="C783" s="273" t="s">
        <v>758</v>
      </c>
      <c r="D783" s="44"/>
      <c r="E783" s="36"/>
      <c r="F783" s="36">
        <v>2.6</v>
      </c>
      <c r="G783" s="36">
        <v>2.2000000000000002</v>
      </c>
      <c r="H783" s="36">
        <v>2.2000000000000002</v>
      </c>
      <c r="I783" s="36">
        <f>ROUND(PRODUCT(E783:H783),2)</f>
        <v>12.58</v>
      </c>
    </row>
    <row r="784" spans="1:9" s="10" customFormat="1" x14ac:dyDescent="0.2">
      <c r="A784" s="32"/>
      <c r="B784" s="265"/>
      <c r="C784" s="45" t="str">
        <f>"Total item "&amp;A781</f>
        <v>Total item 14.3</v>
      </c>
      <c r="D784" s="44"/>
      <c r="E784" s="36"/>
      <c r="F784" s="36"/>
      <c r="G784" s="36"/>
      <c r="H784" s="36"/>
      <c r="I784" s="19">
        <f>SUM(I782:I782)</f>
        <v>9.36</v>
      </c>
    </row>
    <row r="785" spans="1:9" s="10" customFormat="1" x14ac:dyDescent="0.2">
      <c r="A785" s="32"/>
      <c r="B785" s="265"/>
      <c r="C785" s="266"/>
      <c r="D785" s="33"/>
      <c r="E785" s="267"/>
      <c r="F785" s="267"/>
      <c r="G785" s="267"/>
      <c r="H785" s="267"/>
      <c r="I785" s="267"/>
    </row>
    <row r="786" spans="1:9" s="10" customFormat="1" ht="56.25" x14ac:dyDescent="0.2">
      <c r="A786" s="268" t="s">
        <v>739</v>
      </c>
      <c r="B786" s="269" t="s">
        <v>59</v>
      </c>
      <c r="C786" s="270" t="s">
        <v>509</v>
      </c>
      <c r="D786" s="271" t="s">
        <v>112</v>
      </c>
      <c r="E786" s="19"/>
      <c r="F786" s="272"/>
      <c r="G786" s="19"/>
      <c r="H786" s="19"/>
      <c r="I786" s="19"/>
    </row>
    <row r="787" spans="1:9" s="10" customFormat="1" x14ac:dyDescent="0.2">
      <c r="A787" s="32"/>
      <c r="B787" s="265"/>
      <c r="C787" s="273" t="s">
        <v>761</v>
      </c>
      <c r="D787" s="44"/>
      <c r="E787" s="36"/>
      <c r="F787" s="36">
        <v>2.6</v>
      </c>
      <c r="G787" s="36">
        <v>1.8</v>
      </c>
      <c r="H787" s="36"/>
      <c r="I787" s="36">
        <f>ROUND(PRODUCT(E787:H787),2)</f>
        <v>4.68</v>
      </c>
    </row>
    <row r="788" spans="1:9" s="10" customFormat="1" x14ac:dyDescent="0.2">
      <c r="A788" s="32"/>
      <c r="B788" s="265"/>
      <c r="C788" s="273" t="s">
        <v>762</v>
      </c>
      <c r="D788" s="44"/>
      <c r="E788" s="36"/>
      <c r="F788" s="36">
        <v>2.6</v>
      </c>
      <c r="G788" s="36">
        <v>2.2000000000000002</v>
      </c>
      <c r="H788" s="36"/>
      <c r="I788" s="36">
        <f>ROUND(PRODUCT(E788:H788),2)</f>
        <v>5.72</v>
      </c>
    </row>
    <row r="789" spans="1:9" s="10" customFormat="1" x14ac:dyDescent="0.2">
      <c r="A789" s="32"/>
      <c r="B789" s="265"/>
      <c r="C789" s="45" t="str">
        <f>"Total item "&amp;A786</f>
        <v>Total item 14.4</v>
      </c>
      <c r="D789" s="44"/>
      <c r="E789" s="36"/>
      <c r="F789" s="36"/>
      <c r="G789" s="36"/>
      <c r="H789" s="36"/>
      <c r="I789" s="19">
        <f>SUM(I787:I787)</f>
        <v>4.68</v>
      </c>
    </row>
    <row r="790" spans="1:9" s="10" customFormat="1" x14ac:dyDescent="0.2">
      <c r="A790" s="32"/>
      <c r="B790" s="265"/>
      <c r="C790" s="266"/>
      <c r="D790" s="33"/>
      <c r="E790" s="267"/>
      <c r="F790" s="267"/>
      <c r="G790" s="267"/>
      <c r="H790" s="267"/>
      <c r="I790" s="267"/>
    </row>
    <row r="791" spans="1:9" s="10" customFormat="1" ht="45" x14ac:dyDescent="0.2">
      <c r="A791" s="268" t="s">
        <v>740</v>
      </c>
      <c r="B791" s="269" t="s">
        <v>246</v>
      </c>
      <c r="C791" s="270" t="s">
        <v>750</v>
      </c>
      <c r="D791" s="271" t="s">
        <v>112</v>
      </c>
      <c r="E791" s="19"/>
      <c r="F791" s="272"/>
      <c r="G791" s="19"/>
      <c r="H791" s="19"/>
      <c r="I791" s="19"/>
    </row>
    <row r="792" spans="1:9" s="10" customFormat="1" x14ac:dyDescent="0.2">
      <c r="A792" s="32"/>
      <c r="B792" s="265"/>
      <c r="C792" s="273" t="s">
        <v>757</v>
      </c>
      <c r="D792" s="44"/>
      <c r="E792" s="36">
        <v>2</v>
      </c>
      <c r="F792" s="36">
        <v>2.6</v>
      </c>
      <c r="G792" s="36"/>
      <c r="H792" s="36">
        <v>2</v>
      </c>
      <c r="I792" s="36">
        <f t="shared" ref="I792:I798" si="20">ROUND(PRODUCT(E792:H792),2)</f>
        <v>10.4</v>
      </c>
    </row>
    <row r="793" spans="1:9" s="10" customFormat="1" x14ac:dyDescent="0.2">
      <c r="A793" s="32"/>
      <c r="B793" s="265"/>
      <c r="C793" s="45"/>
      <c r="D793" s="44"/>
      <c r="E793" s="36">
        <v>2</v>
      </c>
      <c r="F793" s="36">
        <v>1.8</v>
      </c>
      <c r="G793" s="36"/>
      <c r="H793" s="36">
        <v>2</v>
      </c>
      <c r="I793" s="36">
        <f t="shared" si="20"/>
        <v>7.2</v>
      </c>
    </row>
    <row r="794" spans="1:9" s="10" customFormat="1" x14ac:dyDescent="0.2">
      <c r="A794" s="32"/>
      <c r="B794" s="265"/>
      <c r="C794" s="273" t="s">
        <v>758</v>
      </c>
      <c r="D794" s="44"/>
      <c r="E794" s="36">
        <v>2</v>
      </c>
      <c r="F794" s="36">
        <v>2.6</v>
      </c>
      <c r="G794" s="36"/>
      <c r="H794" s="36">
        <v>2</v>
      </c>
      <c r="I794" s="36">
        <f t="shared" si="20"/>
        <v>10.4</v>
      </c>
    </row>
    <row r="795" spans="1:9" s="10" customFormat="1" x14ac:dyDescent="0.2">
      <c r="A795" s="32"/>
      <c r="B795" s="265"/>
      <c r="C795" s="45"/>
      <c r="D795" s="44"/>
      <c r="E795" s="36">
        <v>2</v>
      </c>
      <c r="F795" s="36">
        <v>2</v>
      </c>
      <c r="G795" s="36"/>
      <c r="H795" s="36">
        <v>2</v>
      </c>
      <c r="I795" s="36">
        <f t="shared" si="20"/>
        <v>8</v>
      </c>
    </row>
    <row r="796" spans="1:9" s="10" customFormat="1" x14ac:dyDescent="0.2">
      <c r="A796" s="32"/>
      <c r="B796" s="265"/>
      <c r="C796" s="45" t="s">
        <v>764</v>
      </c>
      <c r="D796" s="44"/>
      <c r="E796" s="36"/>
      <c r="F796" s="36"/>
      <c r="G796" s="36"/>
      <c r="H796" s="36"/>
      <c r="I796" s="36"/>
    </row>
    <row r="797" spans="1:9" s="10" customFormat="1" x14ac:dyDescent="0.2">
      <c r="A797" s="303"/>
      <c r="B797" s="304"/>
      <c r="C797" s="273" t="s">
        <v>766</v>
      </c>
      <c r="D797" s="44"/>
      <c r="E797" s="36">
        <v>-6</v>
      </c>
      <c r="F797" s="36">
        <v>0.2</v>
      </c>
      <c r="G797" s="36"/>
      <c r="H797" s="36">
        <v>2</v>
      </c>
      <c r="I797" s="36">
        <f t="shared" si="20"/>
        <v>-2.4</v>
      </c>
    </row>
    <row r="798" spans="1:9" s="10" customFormat="1" x14ac:dyDescent="0.2">
      <c r="A798" s="303"/>
      <c r="B798" s="304"/>
      <c r="C798" s="273" t="s">
        <v>765</v>
      </c>
      <c r="D798" s="44"/>
      <c r="E798" s="36">
        <v>-6</v>
      </c>
      <c r="F798" s="36">
        <v>0.2</v>
      </c>
      <c r="G798" s="36"/>
      <c r="H798" s="36">
        <v>2</v>
      </c>
      <c r="I798" s="36">
        <f t="shared" si="20"/>
        <v>-2.4</v>
      </c>
    </row>
    <row r="799" spans="1:9" s="10" customFormat="1" x14ac:dyDescent="0.2">
      <c r="A799" s="32"/>
      <c r="B799" s="265"/>
      <c r="C799" s="45" t="str">
        <f>"Total item "&amp;A791</f>
        <v>Total item 14.5</v>
      </c>
      <c r="D799" s="44"/>
      <c r="E799" s="36"/>
      <c r="F799" s="36"/>
      <c r="G799" s="36"/>
      <c r="H799" s="36"/>
      <c r="I799" s="19">
        <f>SUM(I792:I798)</f>
        <v>31.200000000000003</v>
      </c>
    </row>
    <row r="800" spans="1:9" s="10" customFormat="1" x14ac:dyDescent="0.2">
      <c r="A800" s="32"/>
      <c r="B800" s="265"/>
      <c r="C800" s="266"/>
      <c r="D800" s="33"/>
      <c r="E800" s="267"/>
      <c r="F800" s="267"/>
      <c r="G800" s="267"/>
      <c r="H800" s="267"/>
      <c r="I800" s="267"/>
    </row>
    <row r="801" spans="1:9" s="10" customFormat="1" ht="45" x14ac:dyDescent="0.2">
      <c r="A801" s="268" t="s">
        <v>741</v>
      </c>
      <c r="B801" s="269" t="s">
        <v>59</v>
      </c>
      <c r="C801" s="270" t="s">
        <v>751</v>
      </c>
      <c r="D801" s="271" t="s">
        <v>112</v>
      </c>
      <c r="E801" s="19"/>
      <c r="F801" s="272"/>
      <c r="G801" s="19"/>
      <c r="H801" s="19"/>
      <c r="I801" s="19"/>
    </row>
    <row r="802" spans="1:9" s="10" customFormat="1" x14ac:dyDescent="0.2">
      <c r="A802" s="32"/>
      <c r="B802" s="265"/>
      <c r="C802" s="273" t="s">
        <v>757</v>
      </c>
      <c r="D802" s="44"/>
      <c r="E802" s="36">
        <v>4</v>
      </c>
      <c r="F802" s="36">
        <v>2.6</v>
      </c>
      <c r="G802" s="36"/>
      <c r="H802" s="36">
        <v>2</v>
      </c>
      <c r="I802" s="36">
        <f>ROUND(PRODUCT(E802:H802),2)</f>
        <v>20.8</v>
      </c>
    </row>
    <row r="803" spans="1:9" s="10" customFormat="1" x14ac:dyDescent="0.2">
      <c r="A803" s="32"/>
      <c r="B803" s="265"/>
      <c r="C803" s="45"/>
      <c r="D803" s="44"/>
      <c r="E803" s="36">
        <v>4</v>
      </c>
      <c r="F803" s="36">
        <v>1.8</v>
      </c>
      <c r="G803" s="36"/>
      <c r="H803" s="36">
        <v>2</v>
      </c>
      <c r="I803" s="36">
        <f>ROUND(PRODUCT(E803:H803),2)</f>
        <v>14.4</v>
      </c>
    </row>
    <row r="804" spans="1:9" s="10" customFormat="1" x14ac:dyDescent="0.2">
      <c r="A804" s="32"/>
      <c r="B804" s="265"/>
      <c r="C804" s="273" t="s">
        <v>758</v>
      </c>
      <c r="D804" s="44"/>
      <c r="E804" s="36">
        <v>4</v>
      </c>
      <c r="F804" s="36">
        <v>2.6</v>
      </c>
      <c r="G804" s="36"/>
      <c r="H804" s="36">
        <v>2</v>
      </c>
      <c r="I804" s="36">
        <f>ROUND(PRODUCT(E804:H804),2)</f>
        <v>20.8</v>
      </c>
    </row>
    <row r="805" spans="1:9" s="10" customFormat="1" x14ac:dyDescent="0.2">
      <c r="A805" s="32"/>
      <c r="B805" s="265"/>
      <c r="C805" s="45"/>
      <c r="D805" s="44"/>
      <c r="E805" s="36">
        <v>4</v>
      </c>
      <c r="F805" s="36">
        <v>2</v>
      </c>
      <c r="G805" s="36"/>
      <c r="H805" s="36">
        <v>2</v>
      </c>
      <c r="I805" s="36">
        <f>ROUND(PRODUCT(E805:H805),2)</f>
        <v>16</v>
      </c>
    </row>
    <row r="806" spans="1:9" s="10" customFormat="1" x14ac:dyDescent="0.2">
      <c r="A806" s="32"/>
      <c r="B806" s="265"/>
      <c r="C806" s="45" t="str">
        <f>"Total item "&amp;A801</f>
        <v>Total item 14.6</v>
      </c>
      <c r="D806" s="44"/>
      <c r="E806" s="36"/>
      <c r="F806" s="36"/>
      <c r="G806" s="36"/>
      <c r="H806" s="36"/>
      <c r="I806" s="19">
        <f>SUM(I802:I802)</f>
        <v>20.8</v>
      </c>
    </row>
    <row r="807" spans="1:9" s="10" customFormat="1" x14ac:dyDescent="0.2">
      <c r="A807" s="32"/>
      <c r="B807" s="265"/>
      <c r="C807" s="266"/>
      <c r="D807" s="33"/>
      <c r="E807" s="267"/>
      <c r="F807" s="267"/>
      <c r="G807" s="267"/>
      <c r="H807" s="267"/>
      <c r="I807" s="267"/>
    </row>
    <row r="808" spans="1:9" s="10" customFormat="1" ht="45" x14ac:dyDescent="0.2">
      <c r="A808" s="268" t="s">
        <v>742</v>
      </c>
      <c r="B808" s="269" t="s">
        <v>246</v>
      </c>
      <c r="C808" s="270" t="s">
        <v>753</v>
      </c>
      <c r="D808" s="271" t="s">
        <v>112</v>
      </c>
      <c r="E808" s="19"/>
      <c r="F808" s="272"/>
      <c r="G808" s="19"/>
      <c r="H808" s="19"/>
      <c r="I808" s="19"/>
    </row>
    <row r="809" spans="1:9" s="10" customFormat="1" x14ac:dyDescent="0.2">
      <c r="A809" s="32"/>
      <c r="B809" s="265"/>
      <c r="C809" s="273" t="s">
        <v>757</v>
      </c>
      <c r="D809" s="44"/>
      <c r="E809" s="36">
        <v>4</v>
      </c>
      <c r="F809" s="36">
        <v>2.6</v>
      </c>
      <c r="G809" s="36"/>
      <c r="H809" s="36">
        <v>2</v>
      </c>
      <c r="I809" s="36">
        <f>ROUND(PRODUCT(E809:H809),2)</f>
        <v>20.8</v>
      </c>
    </row>
    <row r="810" spans="1:9" s="10" customFormat="1" x14ac:dyDescent="0.2">
      <c r="A810" s="32"/>
      <c r="B810" s="265"/>
      <c r="C810" s="45"/>
      <c r="D810" s="44"/>
      <c r="E810" s="36">
        <v>4</v>
      </c>
      <c r="F810" s="36">
        <v>1.8</v>
      </c>
      <c r="G810" s="36"/>
      <c r="H810" s="36">
        <v>2</v>
      </c>
      <c r="I810" s="36">
        <f>ROUND(PRODUCT(E810:H810),2)</f>
        <v>14.4</v>
      </c>
    </row>
    <row r="811" spans="1:9" s="10" customFormat="1" x14ac:dyDescent="0.2">
      <c r="A811" s="32"/>
      <c r="B811" s="265"/>
      <c r="C811" s="273" t="s">
        <v>758</v>
      </c>
      <c r="D811" s="44"/>
      <c r="E811" s="36">
        <v>4</v>
      </c>
      <c r="F811" s="36">
        <v>2.6</v>
      </c>
      <c r="G811" s="36"/>
      <c r="H811" s="36">
        <v>2</v>
      </c>
      <c r="I811" s="36">
        <f>ROUND(PRODUCT(E811:H811),2)</f>
        <v>20.8</v>
      </c>
    </row>
    <row r="812" spans="1:9" s="10" customFormat="1" x14ac:dyDescent="0.2">
      <c r="A812" s="32"/>
      <c r="B812" s="265"/>
      <c r="C812" s="45"/>
      <c r="D812" s="44"/>
      <c r="E812" s="36">
        <v>4</v>
      </c>
      <c r="F812" s="36">
        <v>2</v>
      </c>
      <c r="G812" s="36"/>
      <c r="H812" s="36">
        <v>2</v>
      </c>
      <c r="I812" s="36">
        <f>ROUND(PRODUCT(E812:H812),2)</f>
        <v>16</v>
      </c>
    </row>
    <row r="813" spans="1:9" s="10" customFormat="1" x14ac:dyDescent="0.2">
      <c r="A813" s="32"/>
      <c r="B813" s="265"/>
      <c r="C813" s="45" t="str">
        <f>"Total item "&amp;A808</f>
        <v>Total item 14.7</v>
      </c>
      <c r="D813" s="44"/>
      <c r="E813" s="36"/>
      <c r="F813" s="36"/>
      <c r="G813" s="36"/>
      <c r="H813" s="36"/>
      <c r="I813" s="19">
        <f>SUM(I809:I809)</f>
        <v>20.8</v>
      </c>
    </row>
    <row r="814" spans="1:9" s="10" customFormat="1" x14ac:dyDescent="0.2">
      <c r="A814" s="32"/>
      <c r="B814" s="265"/>
      <c r="C814" s="266"/>
      <c r="D814" s="33"/>
      <c r="E814" s="267"/>
      <c r="F814" s="267"/>
      <c r="G814" s="267"/>
      <c r="H814" s="267"/>
      <c r="I814" s="267"/>
    </row>
    <row r="815" spans="1:9" s="10" customFormat="1" ht="45" x14ac:dyDescent="0.2">
      <c r="A815" s="268" t="s">
        <v>743</v>
      </c>
      <c r="B815" s="269" t="s">
        <v>59</v>
      </c>
      <c r="C815" s="270" t="s">
        <v>754</v>
      </c>
      <c r="D815" s="271" t="s">
        <v>112</v>
      </c>
      <c r="E815" s="19"/>
      <c r="F815" s="272"/>
      <c r="G815" s="19"/>
      <c r="H815" s="19"/>
      <c r="I815" s="19"/>
    </row>
    <row r="816" spans="1:9" s="10" customFormat="1" x14ac:dyDescent="0.2">
      <c r="A816" s="32"/>
      <c r="B816" s="265"/>
      <c r="C816" s="273" t="s">
        <v>757</v>
      </c>
      <c r="D816" s="44"/>
      <c r="E816" s="36"/>
      <c r="F816" s="36">
        <v>2.6</v>
      </c>
      <c r="G816" s="36">
        <v>1.8</v>
      </c>
      <c r="H816" s="36"/>
      <c r="I816" s="36">
        <f>ROUND(PRODUCT(E816:H816),2)</f>
        <v>4.68</v>
      </c>
    </row>
    <row r="817" spans="1:9 16376:16376" s="10" customFormat="1" x14ac:dyDescent="0.2">
      <c r="A817" s="32"/>
      <c r="B817" s="265"/>
      <c r="C817" s="273" t="s">
        <v>758</v>
      </c>
      <c r="D817" s="44"/>
      <c r="E817" s="36">
        <v>2</v>
      </c>
      <c r="F817" s="36">
        <v>2.6</v>
      </c>
      <c r="G817" s="36">
        <v>2</v>
      </c>
      <c r="H817" s="36"/>
      <c r="I817" s="36">
        <f>ROUND(PRODUCT(E817:H817),2)</f>
        <v>10.4</v>
      </c>
    </row>
    <row r="818" spans="1:9 16376:16376" s="10" customFormat="1" x14ac:dyDescent="0.2">
      <c r="A818" s="32"/>
      <c r="B818" s="265"/>
      <c r="C818" s="45" t="str">
        <f>"Total item "&amp;A815</f>
        <v>Total item 14.8</v>
      </c>
      <c r="D818" s="44"/>
      <c r="E818" s="36"/>
      <c r="F818" s="36"/>
      <c r="G818" s="36"/>
      <c r="H818" s="36"/>
      <c r="I818" s="19">
        <f>SUM(I816:I817)</f>
        <v>15.08</v>
      </c>
    </row>
    <row r="819" spans="1:9 16376:16376" s="10" customFormat="1" x14ac:dyDescent="0.2">
      <c r="A819" s="32"/>
      <c r="B819" s="265"/>
      <c r="C819" s="266"/>
      <c r="D819" s="33"/>
      <c r="E819" s="267"/>
      <c r="F819" s="267"/>
      <c r="G819" s="267"/>
      <c r="H819" s="267"/>
      <c r="I819" s="267"/>
    </row>
    <row r="820" spans="1:9 16376:16376" s="10" customFormat="1" ht="33.75" x14ac:dyDescent="0.2">
      <c r="A820" s="268" t="s">
        <v>744</v>
      </c>
      <c r="B820" s="269" t="s">
        <v>59</v>
      </c>
      <c r="C820" s="270" t="s">
        <v>767</v>
      </c>
      <c r="D820" s="271" t="s">
        <v>109</v>
      </c>
      <c r="E820" s="19"/>
      <c r="F820" s="272"/>
      <c r="G820" s="19"/>
      <c r="H820" s="19"/>
      <c r="I820" s="19"/>
    </row>
    <row r="821" spans="1:9 16376:16376" s="10" customFormat="1" x14ac:dyDescent="0.2">
      <c r="A821" s="32"/>
      <c r="B821" s="265"/>
      <c r="C821" s="273" t="s">
        <v>757</v>
      </c>
      <c r="D821" s="44"/>
      <c r="E821" s="36">
        <v>5</v>
      </c>
      <c r="F821" s="36"/>
      <c r="G821" s="36"/>
      <c r="H821" s="36"/>
      <c r="I821" s="36">
        <f>ROUND(PRODUCT(E821:H821),2)</f>
        <v>5</v>
      </c>
    </row>
    <row r="822" spans="1:9 16376:16376" s="10" customFormat="1" x14ac:dyDescent="0.2">
      <c r="A822" s="32"/>
      <c r="B822" s="265"/>
      <c r="C822" s="273" t="s">
        <v>758</v>
      </c>
      <c r="D822" s="44"/>
      <c r="E822" s="36">
        <v>7</v>
      </c>
      <c r="F822" s="36"/>
      <c r="G822" s="36"/>
      <c r="H822" s="36"/>
      <c r="I822" s="36">
        <f>ROUND(PRODUCT(E822:H822),2)</f>
        <v>7</v>
      </c>
    </row>
    <row r="823" spans="1:9 16376:16376" s="10" customFormat="1" x14ac:dyDescent="0.2">
      <c r="A823" s="32"/>
      <c r="B823" s="265"/>
      <c r="C823" s="45" t="str">
        <f>"Total item "&amp;A820</f>
        <v>Total item 14.9</v>
      </c>
      <c r="D823" s="44"/>
      <c r="E823" s="36"/>
      <c r="F823" s="36"/>
      <c r="G823" s="36"/>
      <c r="H823" s="36"/>
      <c r="I823" s="19">
        <f>SUM(I821:I822)</f>
        <v>12</v>
      </c>
      <c r="XEV823" s="249">
        <f>SUM(I823:XEU823)</f>
        <v>12</v>
      </c>
    </row>
    <row r="824" spans="1:9 16376:16376" s="10" customFormat="1" x14ac:dyDescent="0.2">
      <c r="A824" s="32"/>
      <c r="B824" s="265"/>
      <c r="C824" s="266"/>
      <c r="D824" s="33"/>
      <c r="E824" s="267"/>
      <c r="F824" s="267"/>
      <c r="G824" s="267"/>
      <c r="H824" s="267"/>
      <c r="I824" s="267"/>
    </row>
    <row r="825" spans="1:9 16376:16376" s="10" customFormat="1" ht="56.25" x14ac:dyDescent="0.2">
      <c r="A825" s="268" t="s">
        <v>745</v>
      </c>
      <c r="B825" s="269" t="s">
        <v>246</v>
      </c>
      <c r="C825" s="270" t="s">
        <v>756</v>
      </c>
      <c r="D825" s="271" t="s">
        <v>661</v>
      </c>
      <c r="E825" s="19"/>
      <c r="F825" s="272"/>
      <c r="G825" s="19"/>
      <c r="H825" s="19"/>
      <c r="I825" s="19"/>
    </row>
    <row r="826" spans="1:9 16376:16376" s="10" customFormat="1" x14ac:dyDescent="0.2">
      <c r="A826" s="32"/>
      <c r="B826" s="265"/>
      <c r="C826" s="45" t="s">
        <v>757</v>
      </c>
      <c r="D826" s="44"/>
      <c r="E826" s="36"/>
      <c r="F826" s="36"/>
      <c r="G826" s="36"/>
      <c r="H826" s="36"/>
      <c r="I826" s="36"/>
    </row>
    <row r="827" spans="1:9 16376:16376" s="10" customFormat="1" x14ac:dyDescent="0.2">
      <c r="A827" s="32"/>
      <c r="B827" s="265"/>
      <c r="C827" s="273" t="s">
        <v>244</v>
      </c>
      <c r="D827" s="44"/>
      <c r="E827" s="36">
        <v>6</v>
      </c>
      <c r="F827" s="36">
        <v>0.7</v>
      </c>
      <c r="G827" s="36">
        <v>0.7</v>
      </c>
      <c r="H827" s="36">
        <v>0.2</v>
      </c>
      <c r="I827" s="36">
        <f t="shared" ref="I827:I833" si="21">ROUND(PRODUCT(E827:H827),2)</f>
        <v>0.59</v>
      </c>
    </row>
    <row r="828" spans="1:9 16376:16376" s="10" customFormat="1" x14ac:dyDescent="0.2">
      <c r="A828" s="32"/>
      <c r="B828" s="265"/>
      <c r="C828" s="273" t="s">
        <v>768</v>
      </c>
      <c r="D828" s="44"/>
      <c r="E828" s="36">
        <v>2</v>
      </c>
      <c r="F828" s="36">
        <v>2.6</v>
      </c>
      <c r="G828" s="36">
        <v>0.2</v>
      </c>
      <c r="H828" s="36">
        <v>0.2</v>
      </c>
      <c r="I828" s="36">
        <f t="shared" si="21"/>
        <v>0.21</v>
      </c>
    </row>
    <row r="829" spans="1:9 16376:16376" s="10" customFormat="1" x14ac:dyDescent="0.2">
      <c r="A829" s="32"/>
      <c r="B829" s="265"/>
      <c r="C829" s="273"/>
      <c r="D829" s="44"/>
      <c r="E829" s="36">
        <v>2</v>
      </c>
      <c r="F829" s="36">
        <v>1.4</v>
      </c>
      <c r="G829" s="36">
        <v>0.2</v>
      </c>
      <c r="H829" s="36">
        <v>0.2</v>
      </c>
      <c r="I829" s="36">
        <f t="shared" si="21"/>
        <v>0.11</v>
      </c>
    </row>
    <row r="830" spans="1:9 16376:16376" s="10" customFormat="1" x14ac:dyDescent="0.2">
      <c r="A830" s="32"/>
      <c r="B830" s="265"/>
      <c r="C830" s="273" t="s">
        <v>245</v>
      </c>
      <c r="D830" s="44"/>
      <c r="E830" s="36">
        <v>6</v>
      </c>
      <c r="F830" s="36">
        <v>0.2</v>
      </c>
      <c r="G830" s="36">
        <v>0.2</v>
      </c>
      <c r="H830" s="36">
        <v>2</v>
      </c>
      <c r="I830" s="36">
        <f t="shared" si="21"/>
        <v>0.48</v>
      </c>
    </row>
    <row r="831" spans="1:9 16376:16376" s="10" customFormat="1" x14ac:dyDescent="0.2">
      <c r="A831" s="32"/>
      <c r="B831" s="265"/>
      <c r="C831" s="273" t="s">
        <v>769</v>
      </c>
      <c r="D831" s="44"/>
      <c r="E831" s="36">
        <v>2</v>
      </c>
      <c r="F831" s="36">
        <v>2.6</v>
      </c>
      <c r="G831" s="36">
        <v>0.2</v>
      </c>
      <c r="H831" s="36">
        <v>0.2</v>
      </c>
      <c r="I831" s="36">
        <f t="shared" si="21"/>
        <v>0.21</v>
      </c>
    </row>
    <row r="832" spans="1:9 16376:16376" s="10" customFormat="1" x14ac:dyDescent="0.2">
      <c r="A832" s="32"/>
      <c r="B832" s="265"/>
      <c r="C832" s="45"/>
      <c r="D832" s="44"/>
      <c r="E832" s="36">
        <v>2</v>
      </c>
      <c r="F832" s="36">
        <v>1.4</v>
      </c>
      <c r="G832" s="36">
        <v>0.2</v>
      </c>
      <c r="H832" s="36">
        <v>0.2</v>
      </c>
      <c r="I832" s="36">
        <f t="shared" si="21"/>
        <v>0.11</v>
      </c>
    </row>
    <row r="833" spans="1:31" s="10" customFormat="1" x14ac:dyDescent="0.2">
      <c r="A833" s="32"/>
      <c r="B833" s="265"/>
      <c r="C833" s="273" t="s">
        <v>782</v>
      </c>
      <c r="D833" s="44"/>
      <c r="E833" s="36"/>
      <c r="F833" s="36">
        <v>2.6</v>
      </c>
      <c r="G833" s="36">
        <v>1.8</v>
      </c>
      <c r="H833" s="36">
        <v>0.1</v>
      </c>
      <c r="I833" s="36">
        <f t="shared" si="21"/>
        <v>0.47</v>
      </c>
    </row>
    <row r="834" spans="1:31" s="10" customFormat="1" x14ac:dyDescent="0.2">
      <c r="A834" s="32"/>
      <c r="B834" s="265"/>
      <c r="C834" s="45" t="s">
        <v>758</v>
      </c>
      <c r="D834" s="44"/>
      <c r="E834" s="36"/>
      <c r="F834" s="36"/>
      <c r="G834" s="36"/>
      <c r="H834" s="36"/>
      <c r="I834" s="36"/>
    </row>
    <row r="835" spans="1:31" s="10" customFormat="1" x14ac:dyDescent="0.2">
      <c r="A835" s="32"/>
      <c r="B835" s="265"/>
      <c r="C835" s="273" t="s">
        <v>244</v>
      </c>
      <c r="D835" s="44"/>
      <c r="E835" s="36">
        <v>6</v>
      </c>
      <c r="F835" s="36">
        <v>0.7</v>
      </c>
      <c r="G835" s="36">
        <v>0.7</v>
      </c>
      <c r="H835" s="36">
        <v>0.2</v>
      </c>
      <c r="I835" s="36">
        <f t="shared" ref="I835:I841" si="22">ROUND(PRODUCT(E835:H835),2)</f>
        <v>0.59</v>
      </c>
    </row>
    <row r="836" spans="1:31" s="10" customFormat="1" x14ac:dyDescent="0.2">
      <c r="A836" s="32"/>
      <c r="B836" s="265"/>
      <c r="C836" s="273" t="s">
        <v>768</v>
      </c>
      <c r="D836" s="44"/>
      <c r="E836" s="36">
        <v>2</v>
      </c>
      <c r="F836" s="36">
        <v>2.6</v>
      </c>
      <c r="G836" s="36">
        <v>0.2</v>
      </c>
      <c r="H836" s="36">
        <v>0.2</v>
      </c>
      <c r="I836" s="36">
        <f t="shared" si="22"/>
        <v>0.21</v>
      </c>
    </row>
    <row r="837" spans="1:31" s="10" customFormat="1" x14ac:dyDescent="0.2">
      <c r="A837" s="32"/>
      <c r="B837" s="265"/>
      <c r="C837" s="273"/>
      <c r="D837" s="44"/>
      <c r="E837" s="36">
        <v>2</v>
      </c>
      <c r="F837" s="36">
        <v>1.8</v>
      </c>
      <c r="G837" s="36">
        <v>0.2</v>
      </c>
      <c r="H837" s="36">
        <v>0.2</v>
      </c>
      <c r="I837" s="36">
        <f t="shared" si="22"/>
        <v>0.14000000000000001</v>
      </c>
    </row>
    <row r="838" spans="1:31" s="10" customFormat="1" x14ac:dyDescent="0.2">
      <c r="A838" s="32"/>
      <c r="B838" s="265"/>
      <c r="C838" s="273" t="s">
        <v>245</v>
      </c>
      <c r="D838" s="44"/>
      <c r="E838" s="36">
        <v>6</v>
      </c>
      <c r="F838" s="36">
        <v>0.2</v>
      </c>
      <c r="G838" s="36">
        <v>0.2</v>
      </c>
      <c r="H838" s="36">
        <v>2</v>
      </c>
      <c r="I838" s="36">
        <f t="shared" si="22"/>
        <v>0.48</v>
      </c>
    </row>
    <row r="839" spans="1:31" s="10" customFormat="1" x14ac:dyDescent="0.2">
      <c r="A839" s="32"/>
      <c r="B839" s="265"/>
      <c r="C839" s="273" t="s">
        <v>769</v>
      </c>
      <c r="D839" s="44"/>
      <c r="E839" s="36">
        <v>2</v>
      </c>
      <c r="F839" s="36">
        <v>2.6</v>
      </c>
      <c r="G839" s="36">
        <v>0.2</v>
      </c>
      <c r="H839" s="36">
        <v>0.2</v>
      </c>
      <c r="I839" s="36">
        <f t="shared" si="22"/>
        <v>0.21</v>
      </c>
    </row>
    <row r="840" spans="1:31" s="10" customFormat="1" x14ac:dyDescent="0.2">
      <c r="A840" s="32"/>
      <c r="B840" s="265"/>
      <c r="C840" s="45"/>
      <c r="D840" s="44"/>
      <c r="E840" s="36">
        <v>2</v>
      </c>
      <c r="F840" s="36">
        <v>1.8</v>
      </c>
      <c r="G840" s="36">
        <v>0.2</v>
      </c>
      <c r="H840" s="36">
        <v>0.2</v>
      </c>
      <c r="I840" s="36">
        <f t="shared" si="22"/>
        <v>0.14000000000000001</v>
      </c>
    </row>
    <row r="841" spans="1:31" s="10" customFormat="1" x14ac:dyDescent="0.2">
      <c r="A841" s="32"/>
      <c r="B841" s="265"/>
      <c r="C841" s="273" t="s">
        <v>782</v>
      </c>
      <c r="D841" s="44"/>
      <c r="E841" s="36"/>
      <c r="F841" s="36">
        <v>2.6</v>
      </c>
      <c r="G841" s="36">
        <v>2.2000000000000002</v>
      </c>
      <c r="H841" s="36">
        <v>0.1</v>
      </c>
      <c r="I841" s="36">
        <f t="shared" si="22"/>
        <v>0.56999999999999995</v>
      </c>
    </row>
    <row r="842" spans="1:31" s="10" customFormat="1" x14ac:dyDescent="0.2">
      <c r="A842" s="32"/>
      <c r="B842" s="265"/>
      <c r="C842" s="45" t="str">
        <f>"Total item "&amp;A825</f>
        <v>Total item 14.10</v>
      </c>
      <c r="D842" s="44"/>
      <c r="E842" s="36"/>
      <c r="F842" s="36"/>
      <c r="G842" s="36"/>
      <c r="H842" s="36"/>
      <c r="I842" s="19">
        <f>SUM(I827:I841)</f>
        <v>4.5199999999999996</v>
      </c>
    </row>
    <row r="843" spans="1:31" s="10" customFormat="1" x14ac:dyDescent="0.2">
      <c r="A843" s="32"/>
      <c r="B843" s="265"/>
      <c r="C843" s="266"/>
      <c r="D843" s="33"/>
      <c r="E843" s="267"/>
      <c r="F843" s="267"/>
      <c r="G843" s="267"/>
      <c r="H843" s="267"/>
      <c r="I843" s="267"/>
    </row>
    <row r="844" spans="1:31" s="10" customFormat="1" ht="22.5" x14ac:dyDescent="0.2">
      <c r="A844" s="268" t="s">
        <v>746</v>
      </c>
      <c r="B844" s="269" t="s">
        <v>59</v>
      </c>
      <c r="C844" s="270" t="s">
        <v>770</v>
      </c>
      <c r="D844" s="271" t="s">
        <v>661</v>
      </c>
      <c r="E844" s="19"/>
      <c r="F844" s="272"/>
      <c r="G844" s="19"/>
      <c r="H844" s="19"/>
      <c r="I844" s="19"/>
    </row>
    <row r="845" spans="1:31" s="10" customFormat="1" x14ac:dyDescent="0.2">
      <c r="A845" s="32"/>
      <c r="B845" s="265"/>
      <c r="C845" s="273" t="s">
        <v>758</v>
      </c>
      <c r="D845" s="44"/>
      <c r="E845" s="36"/>
      <c r="F845" s="36">
        <v>2.2000000000000002</v>
      </c>
      <c r="G845" s="36">
        <v>1.8</v>
      </c>
      <c r="H845" s="36">
        <v>0.9</v>
      </c>
      <c r="I845" s="36">
        <f>ROUND(PRODUCT(E845:H845),2)</f>
        <v>3.56</v>
      </c>
    </row>
    <row r="846" spans="1:31" s="10" customFormat="1" x14ac:dyDescent="0.2">
      <c r="A846" s="32"/>
      <c r="B846" s="265"/>
      <c r="C846" s="45" t="str">
        <f>"Total item "&amp;A844</f>
        <v>Total item 14.11</v>
      </c>
      <c r="D846" s="44"/>
      <c r="E846" s="36"/>
      <c r="F846" s="36"/>
      <c r="G846" s="36"/>
      <c r="H846" s="36"/>
      <c r="I846" s="19">
        <f>SUM(I845:I845)</f>
        <v>3.56</v>
      </c>
    </row>
    <row r="847" spans="1:31" s="10" customFormat="1" x14ac:dyDescent="0.2">
      <c r="A847" s="32"/>
      <c r="B847" s="265"/>
      <c r="C847" s="266"/>
      <c r="D847" s="33"/>
      <c r="E847" s="267"/>
      <c r="F847" s="267"/>
      <c r="G847" s="267"/>
      <c r="H847" s="267"/>
      <c r="I847" s="267"/>
    </row>
    <row r="848" spans="1:31" x14ac:dyDescent="0.2">
      <c r="AE848" s="39" t="str">
        <f>UPPER(C848)</f>
        <v/>
      </c>
    </row>
  </sheetData>
  <autoFilter ref="A10:I847" xr:uid="{00000000-0009-0000-0000-000000000000}"/>
  <mergeCells count="4">
    <mergeCell ref="A6:I6"/>
    <mergeCell ref="A2:I2"/>
    <mergeCell ref="A3:I3"/>
    <mergeCell ref="A11:I11"/>
  </mergeCells>
  <printOptions horizontalCentered="1"/>
  <pageMargins left="0.59055118110236227" right="0.39370078740157483" top="1.3779527559055118" bottom="0.78740157480314965" header="0.39370078740157483" footer="0.39370078740157483"/>
  <pageSetup paperSize="9" scale="95" fitToHeight="0" orientation="portrait" r:id="rId1"/>
  <headerFooter>
    <oddHeader>&amp;L&amp;G&amp;R&amp;G</oddHeader>
    <oddFooter>&amp;R&amp;"Arial,Normal"&amp;8Pág. &amp;P de 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P63"/>
  <sheetViews>
    <sheetView view="pageBreakPreview" topLeftCell="A8" zoomScale="130" zoomScaleSheetLayoutView="130" workbookViewId="0">
      <pane ySplit="1110" activePane="bottomLeft"/>
      <selection activeCell="N8" sqref="N1:O1048576"/>
      <selection pane="bottomLeft" activeCell="F5" sqref="F5"/>
    </sheetView>
  </sheetViews>
  <sheetFormatPr defaultRowHeight="11.25" x14ac:dyDescent="0.2"/>
  <cols>
    <col min="1" max="1" width="5.7109375" style="47" customWidth="1"/>
    <col min="2" max="2" width="33.7109375" style="47" customWidth="1"/>
    <col min="3" max="3" width="10.42578125" style="47" customWidth="1"/>
    <col min="4" max="13" width="11" style="47" customWidth="1"/>
    <col min="14" max="14" width="4" style="47" customWidth="1"/>
    <col min="15" max="15" width="13.28515625" style="47" customWidth="1"/>
    <col min="16" max="16" width="10.42578125" style="47" customWidth="1"/>
    <col min="17" max="16384" width="9.140625" style="47"/>
  </cols>
  <sheetData>
    <row r="1" spans="1:15" ht="18.75" x14ac:dyDescent="0.3">
      <c r="A1" s="391" t="s">
        <v>24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</row>
    <row r="2" spans="1:15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5" s="18" customFormat="1" ht="12.75" x14ac:dyDescent="0.2">
      <c r="A3" s="14"/>
      <c r="B3" s="388" t="str">
        <f>Orçamento!A3</f>
        <v>OBRA: AMPLIAÇÃO DA ESCOLA MUNICIPAL EPAMINONDAS MENDONÇA - ITEM 02</v>
      </c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</row>
    <row r="4" spans="1:15" s="18" customFormat="1" ht="12.75" x14ac:dyDescent="0.2">
      <c r="A4" s="14"/>
      <c r="B4" s="15" t="str">
        <f>Orçamento!A4</f>
        <v>LOCAL: DISTRITO FAZENDA NOVA- BREJO MADRE DE DEUS/PE.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5" s="18" customFormat="1" ht="12.75" x14ac:dyDescent="0.2">
      <c r="A5" s="14"/>
      <c r="B5" s="22" t="str">
        <f>Orçamento!A6</f>
        <v>DATA BASE: AGOSTO/2024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5" x14ac:dyDescent="0.2">
      <c r="A6" s="6"/>
      <c r="B6" s="6"/>
      <c r="C6" s="8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5" s="49" customFormat="1" x14ac:dyDescent="0.2">
      <c r="A7" s="392" t="s">
        <v>25</v>
      </c>
      <c r="B7" s="392" t="s">
        <v>26</v>
      </c>
      <c r="C7" s="393" t="s">
        <v>28</v>
      </c>
      <c r="D7" s="394" t="s">
        <v>27</v>
      </c>
      <c r="E7" s="394"/>
      <c r="F7" s="394"/>
      <c r="G7" s="394"/>
      <c r="H7" s="394"/>
      <c r="I7" s="394"/>
      <c r="J7" s="394"/>
      <c r="K7" s="394"/>
      <c r="L7" s="394"/>
      <c r="M7" s="394"/>
    </row>
    <row r="8" spans="1:15" s="49" customFormat="1" x14ac:dyDescent="0.2">
      <c r="A8" s="392"/>
      <c r="B8" s="392"/>
      <c r="C8" s="393"/>
      <c r="D8" s="48" t="s">
        <v>53</v>
      </c>
      <c r="E8" s="48" t="s">
        <v>54</v>
      </c>
      <c r="F8" s="48" t="s">
        <v>55</v>
      </c>
      <c r="G8" s="48" t="s">
        <v>397</v>
      </c>
      <c r="H8" s="48" t="s">
        <v>398</v>
      </c>
      <c r="I8" s="48" t="s">
        <v>399</v>
      </c>
      <c r="J8" s="48" t="s">
        <v>400</v>
      </c>
      <c r="K8" s="48" t="s">
        <v>401</v>
      </c>
      <c r="L8" s="48" t="s">
        <v>402</v>
      </c>
      <c r="M8" s="48" t="s">
        <v>403</v>
      </c>
    </row>
    <row r="9" spans="1:15" s="30" customFormat="1" x14ac:dyDescent="0.2">
      <c r="A9" s="50"/>
      <c r="B9" s="51"/>
      <c r="C9" s="52"/>
      <c r="D9" s="53"/>
      <c r="E9" s="54"/>
      <c r="F9" s="54"/>
      <c r="G9" s="54"/>
      <c r="H9" s="54"/>
      <c r="I9" s="54"/>
      <c r="J9" s="54"/>
      <c r="K9" s="54"/>
      <c r="L9" s="54"/>
      <c r="M9" s="54"/>
    </row>
    <row r="10" spans="1:15" s="10" customFormat="1" x14ac:dyDescent="0.2">
      <c r="A10" s="55" t="s">
        <v>169</v>
      </c>
      <c r="B10" s="56" t="e">
        <f>#REF!</f>
        <v>#REF!</v>
      </c>
      <c r="C10" s="57" t="e">
        <f>#REF!</f>
        <v>#REF!</v>
      </c>
      <c r="D10" s="58" t="e">
        <f>ROUND($C10*D11,2)</f>
        <v>#REF!</v>
      </c>
      <c r="E10" s="59"/>
      <c r="F10" s="59"/>
      <c r="G10" s="59"/>
      <c r="H10" s="59"/>
      <c r="I10" s="59"/>
      <c r="J10" s="59"/>
      <c r="K10" s="59"/>
      <c r="L10" s="59"/>
      <c r="M10" s="59"/>
      <c r="O10" s="60" t="e">
        <f>C10-SUM(D10:M10)</f>
        <v>#REF!</v>
      </c>
    </row>
    <row r="11" spans="1:15" s="10" customFormat="1" x14ac:dyDescent="0.2">
      <c r="A11" s="50"/>
      <c r="B11" s="51"/>
      <c r="C11" s="61" t="e">
        <f>C10/$C$52</f>
        <v>#REF!</v>
      </c>
      <c r="D11" s="62">
        <v>1</v>
      </c>
      <c r="E11" s="59"/>
      <c r="F11" s="59"/>
      <c r="G11" s="59"/>
      <c r="H11" s="59"/>
      <c r="I11" s="59"/>
      <c r="J11" s="59"/>
      <c r="K11" s="59"/>
      <c r="L11" s="59"/>
      <c r="M11" s="59"/>
    </row>
    <row r="12" spans="1:15" s="68" customFormat="1" ht="8.25" x14ac:dyDescent="0.15">
      <c r="A12" s="63"/>
      <c r="B12" s="64"/>
      <c r="C12" s="65"/>
      <c r="D12" s="66"/>
      <c r="E12" s="67"/>
      <c r="F12" s="67"/>
      <c r="G12" s="67"/>
      <c r="H12" s="67"/>
      <c r="I12" s="67"/>
      <c r="J12" s="67"/>
      <c r="K12" s="67"/>
      <c r="L12" s="67"/>
      <c r="M12" s="67"/>
    </row>
    <row r="13" spans="1:15" s="10" customFormat="1" x14ac:dyDescent="0.2">
      <c r="A13" s="55" t="s">
        <v>170</v>
      </c>
      <c r="B13" s="56" t="e">
        <f>#REF!</f>
        <v>#REF!</v>
      </c>
      <c r="C13" s="57" t="e">
        <f>#REF!</f>
        <v>#REF!</v>
      </c>
      <c r="D13" s="58" t="e">
        <f>ROUND($C13*D14,2)</f>
        <v>#REF!</v>
      </c>
      <c r="E13" s="58" t="e">
        <f t="shared" ref="E13:L13" si="0">ROUND($C13*E14,2)</f>
        <v>#REF!</v>
      </c>
      <c r="F13" s="58" t="e">
        <f t="shared" si="0"/>
        <v>#REF!</v>
      </c>
      <c r="G13" s="58" t="e">
        <f t="shared" si="0"/>
        <v>#REF!</v>
      </c>
      <c r="H13" s="58" t="e">
        <f t="shared" si="0"/>
        <v>#REF!</v>
      </c>
      <c r="I13" s="58" t="e">
        <f t="shared" si="0"/>
        <v>#REF!</v>
      </c>
      <c r="J13" s="58" t="e">
        <f t="shared" si="0"/>
        <v>#REF!</v>
      </c>
      <c r="K13" s="58" t="e">
        <f t="shared" si="0"/>
        <v>#REF!</v>
      </c>
      <c r="L13" s="58" t="e">
        <f t="shared" si="0"/>
        <v>#REF!</v>
      </c>
      <c r="M13" s="58" t="e">
        <f>ROUND($C13*M14,2)-0.01</f>
        <v>#REF!</v>
      </c>
      <c r="O13" s="60" t="e">
        <f>C13-SUM(D13:M13)</f>
        <v>#REF!</v>
      </c>
    </row>
    <row r="14" spans="1:15" s="10" customFormat="1" x14ac:dyDescent="0.2">
      <c r="A14" s="50"/>
      <c r="B14" s="51"/>
      <c r="C14" s="61" t="e">
        <f>C13/$C$52</f>
        <v>#REF!</v>
      </c>
      <c r="D14" s="62">
        <f t="shared" ref="D14:M14" si="1">100%/10</f>
        <v>0.1</v>
      </c>
      <c r="E14" s="62">
        <f t="shared" si="1"/>
        <v>0.1</v>
      </c>
      <c r="F14" s="62">
        <f t="shared" si="1"/>
        <v>0.1</v>
      </c>
      <c r="G14" s="62">
        <f t="shared" si="1"/>
        <v>0.1</v>
      </c>
      <c r="H14" s="62">
        <f t="shared" si="1"/>
        <v>0.1</v>
      </c>
      <c r="I14" s="62">
        <f t="shared" si="1"/>
        <v>0.1</v>
      </c>
      <c r="J14" s="62">
        <f t="shared" si="1"/>
        <v>0.1</v>
      </c>
      <c r="K14" s="62">
        <f t="shared" si="1"/>
        <v>0.1</v>
      </c>
      <c r="L14" s="62">
        <f t="shared" si="1"/>
        <v>0.1</v>
      </c>
      <c r="M14" s="62">
        <f t="shared" si="1"/>
        <v>0.1</v>
      </c>
    </row>
    <row r="15" spans="1:15" s="68" customFormat="1" ht="8.25" x14ac:dyDescent="0.15">
      <c r="A15" s="63"/>
      <c r="B15" s="70"/>
      <c r="C15" s="65"/>
      <c r="D15" s="71"/>
      <c r="E15" s="67"/>
      <c r="F15" s="67"/>
      <c r="G15" s="67"/>
      <c r="H15" s="67"/>
      <c r="I15" s="67"/>
      <c r="J15" s="67"/>
      <c r="K15" s="67"/>
      <c r="L15" s="67"/>
      <c r="M15" s="67"/>
    </row>
    <row r="16" spans="1:15" s="10" customFormat="1" x14ac:dyDescent="0.2">
      <c r="A16" s="55" t="s">
        <v>171</v>
      </c>
      <c r="B16" s="56" t="e">
        <f>#REF!</f>
        <v>#REF!</v>
      </c>
      <c r="C16" s="57" t="e">
        <f>#REF!</f>
        <v>#REF!</v>
      </c>
      <c r="D16" s="58" t="e">
        <f>ROUND($C16*D17,2)</f>
        <v>#REF!</v>
      </c>
      <c r="E16" s="59"/>
      <c r="F16" s="59"/>
      <c r="G16" s="59"/>
      <c r="H16" s="59"/>
      <c r="I16" s="59"/>
      <c r="J16" s="59"/>
      <c r="K16" s="59"/>
      <c r="L16" s="59"/>
      <c r="M16" s="59"/>
      <c r="O16" s="60" t="e">
        <f>C16-SUM(D16:M16)</f>
        <v>#REF!</v>
      </c>
    </row>
    <row r="17" spans="1:15" s="10" customFormat="1" x14ac:dyDescent="0.2">
      <c r="A17" s="50"/>
      <c r="B17" s="51"/>
      <c r="C17" s="61" t="e">
        <f>C16/$C$52</f>
        <v>#REF!</v>
      </c>
      <c r="D17" s="62">
        <v>1</v>
      </c>
      <c r="E17" s="69"/>
      <c r="F17" s="59"/>
      <c r="G17" s="59"/>
      <c r="H17" s="69"/>
      <c r="I17" s="59"/>
      <c r="J17" s="69"/>
      <c r="K17" s="59"/>
      <c r="L17" s="69"/>
      <c r="M17" s="69"/>
    </row>
    <row r="18" spans="1:15" s="68" customFormat="1" x14ac:dyDescent="0.2">
      <c r="A18" s="63"/>
      <c r="B18" s="70"/>
      <c r="C18" s="65"/>
      <c r="D18" s="71"/>
      <c r="E18" s="67"/>
      <c r="F18" s="59"/>
      <c r="G18" s="59"/>
      <c r="H18" s="69"/>
      <c r="I18" s="59"/>
      <c r="J18" s="69"/>
      <c r="K18" s="59"/>
      <c r="L18" s="69"/>
      <c r="M18" s="69"/>
    </row>
    <row r="19" spans="1:15" s="10" customFormat="1" x14ac:dyDescent="0.2">
      <c r="A19" s="55" t="s">
        <v>172</v>
      </c>
      <c r="B19" s="56" t="e">
        <f>#REF!</f>
        <v>#REF!</v>
      </c>
      <c r="C19" s="57" t="e">
        <f>#REF!</f>
        <v>#REF!</v>
      </c>
      <c r="D19" s="57" t="e">
        <f>ROUND($C19*D20,2)</f>
        <v>#REF!</v>
      </c>
      <c r="E19" s="57" t="e">
        <f>ROUND($C19*E20,2)</f>
        <v>#REF!</v>
      </c>
      <c r="F19" s="59"/>
      <c r="G19" s="59"/>
      <c r="H19" s="69"/>
      <c r="I19" s="59"/>
      <c r="J19" s="69"/>
      <c r="K19" s="59"/>
      <c r="L19" s="69"/>
      <c r="M19" s="69"/>
      <c r="O19" s="60" t="e">
        <f>C19-SUM(D19:M19)</f>
        <v>#REF!</v>
      </c>
    </row>
    <row r="20" spans="1:15" s="10" customFormat="1" x14ac:dyDescent="0.2">
      <c r="A20" s="50"/>
      <c r="B20" s="51"/>
      <c r="C20" s="61" t="e">
        <f>C19/$C$52</f>
        <v>#REF!</v>
      </c>
      <c r="D20" s="73">
        <v>0.4</v>
      </c>
      <c r="E20" s="73">
        <v>0.6</v>
      </c>
      <c r="F20" s="59"/>
      <c r="G20" s="59"/>
      <c r="H20" s="69"/>
      <c r="I20" s="59"/>
      <c r="J20" s="69"/>
      <c r="K20" s="59"/>
      <c r="L20" s="69"/>
      <c r="M20" s="69"/>
    </row>
    <row r="21" spans="1:15" s="68" customFormat="1" x14ac:dyDescent="0.2">
      <c r="A21" s="63"/>
      <c r="B21" s="74"/>
      <c r="C21" s="75"/>
      <c r="D21" s="59"/>
      <c r="E21" s="67"/>
      <c r="F21" s="69"/>
      <c r="G21" s="67"/>
      <c r="H21" s="69"/>
      <c r="I21" s="59"/>
      <c r="J21" s="69"/>
      <c r="K21" s="59"/>
      <c r="L21" s="69"/>
      <c r="M21" s="69"/>
    </row>
    <row r="22" spans="1:15" s="10" customFormat="1" x14ac:dyDescent="0.2">
      <c r="A22" s="55" t="s">
        <v>173</v>
      </c>
      <c r="B22" s="56" t="e">
        <f>#REF!</f>
        <v>#REF!</v>
      </c>
      <c r="C22" s="57" t="e">
        <f>#REF!</f>
        <v>#REF!</v>
      </c>
      <c r="D22" s="59"/>
      <c r="E22" s="57" t="e">
        <f>ROUND($C22*E23,2)</f>
        <v>#REF!</v>
      </c>
      <c r="F22" s="57" t="e">
        <f>ROUND($C22*F23,2)</f>
        <v>#REF!</v>
      </c>
      <c r="G22" s="57" t="e">
        <f>ROUND($C22*G23,2)</f>
        <v>#REF!</v>
      </c>
      <c r="H22" s="57" t="e">
        <f>ROUND($C22*H23,2)</f>
        <v>#REF!</v>
      </c>
      <c r="I22" s="59"/>
      <c r="J22" s="69"/>
      <c r="K22" s="59"/>
      <c r="L22" s="59"/>
      <c r="M22" s="69"/>
      <c r="O22" s="60" t="e">
        <f>C22-SUM(D22:M22)</f>
        <v>#REF!</v>
      </c>
    </row>
    <row r="23" spans="1:15" s="10" customFormat="1" x14ac:dyDescent="0.2">
      <c r="A23" s="50"/>
      <c r="B23" s="51"/>
      <c r="C23" s="61" t="e">
        <f>C22/$C$52</f>
        <v>#REF!</v>
      </c>
      <c r="D23" s="59"/>
      <c r="E23" s="73">
        <v>0.15</v>
      </c>
      <c r="F23" s="73">
        <v>0.3</v>
      </c>
      <c r="G23" s="73">
        <v>0.3</v>
      </c>
      <c r="H23" s="73">
        <v>0.25</v>
      </c>
      <c r="I23" s="59"/>
      <c r="J23" s="69"/>
      <c r="K23" s="59"/>
      <c r="L23" s="59"/>
      <c r="M23" s="69"/>
    </row>
    <row r="24" spans="1:15" s="68" customFormat="1" x14ac:dyDescent="0.2">
      <c r="A24" s="63"/>
      <c r="B24" s="64"/>
      <c r="C24" s="65"/>
      <c r="D24" s="59"/>
      <c r="E24" s="67"/>
      <c r="F24" s="69"/>
      <c r="G24" s="67"/>
      <c r="H24" s="69"/>
      <c r="I24" s="67"/>
      <c r="J24" s="69"/>
      <c r="K24" s="59"/>
      <c r="L24" s="69"/>
      <c r="M24" s="69"/>
    </row>
    <row r="25" spans="1:15" s="10" customFormat="1" x14ac:dyDescent="0.2">
      <c r="A25" s="55" t="s">
        <v>174</v>
      </c>
      <c r="B25" s="56" t="e">
        <f>#REF!</f>
        <v>#REF!</v>
      </c>
      <c r="C25" s="57" t="e">
        <f>#REF!</f>
        <v>#REF!</v>
      </c>
      <c r="D25" s="59"/>
      <c r="E25" s="69"/>
      <c r="F25" s="69"/>
      <c r="G25" s="69"/>
      <c r="H25" s="57" t="e">
        <f>ROUND($C25*H26,2)</f>
        <v>#REF!</v>
      </c>
      <c r="I25" s="57" t="e">
        <f>ROUND($C25*I26,2)</f>
        <v>#REF!</v>
      </c>
      <c r="J25" s="57" t="e">
        <f>ROUND($C25*J26,2)</f>
        <v>#REF!</v>
      </c>
      <c r="K25" s="59"/>
      <c r="L25" s="69"/>
      <c r="M25" s="69"/>
      <c r="O25" s="60" t="e">
        <f>C25-SUM(D25:M25)</f>
        <v>#REF!</v>
      </c>
    </row>
    <row r="26" spans="1:15" s="10" customFormat="1" x14ac:dyDescent="0.2">
      <c r="A26" s="50"/>
      <c r="B26" s="51"/>
      <c r="C26" s="61" t="e">
        <f>C25/$C$52</f>
        <v>#REF!</v>
      </c>
      <c r="D26" s="59"/>
      <c r="E26" s="69"/>
      <c r="F26" s="69"/>
      <c r="G26" s="69"/>
      <c r="H26" s="73">
        <v>0.1</v>
      </c>
      <c r="I26" s="73">
        <v>0.7</v>
      </c>
      <c r="J26" s="73">
        <v>0.2</v>
      </c>
      <c r="K26" s="59"/>
      <c r="L26" s="69"/>
      <c r="M26" s="69"/>
    </row>
    <row r="27" spans="1:15" s="68" customFormat="1" x14ac:dyDescent="0.2">
      <c r="A27" s="63"/>
      <c r="B27" s="64"/>
      <c r="C27" s="65"/>
      <c r="D27" s="59"/>
      <c r="E27" s="59"/>
      <c r="F27" s="69"/>
      <c r="G27" s="69"/>
      <c r="H27" s="69"/>
      <c r="I27" s="69"/>
      <c r="J27" s="69"/>
      <c r="K27" s="59"/>
      <c r="L27" s="69"/>
      <c r="M27" s="69"/>
    </row>
    <row r="28" spans="1:15" s="10" customFormat="1" x14ac:dyDescent="0.2">
      <c r="A28" s="55" t="s">
        <v>175</v>
      </c>
      <c r="B28" s="56" t="e">
        <f>#REF!</f>
        <v>#REF!</v>
      </c>
      <c r="C28" s="57" t="e">
        <f>#REF!</f>
        <v>#REF!</v>
      </c>
      <c r="D28" s="59"/>
      <c r="E28" s="59"/>
      <c r="F28" s="69"/>
      <c r="G28" s="69"/>
      <c r="H28" s="69"/>
      <c r="I28" s="69"/>
      <c r="J28" s="57" t="e">
        <f>ROUND($C28*J29,2)</f>
        <v>#REF!</v>
      </c>
      <c r="K28" s="57" t="e">
        <f>ROUND($C28*K29,2)</f>
        <v>#REF!</v>
      </c>
      <c r="L28" s="69"/>
      <c r="M28" s="69"/>
      <c r="O28" s="60" t="e">
        <f>C28-SUM(D28:M28)</f>
        <v>#REF!</v>
      </c>
    </row>
    <row r="29" spans="1:15" s="10" customFormat="1" x14ac:dyDescent="0.2">
      <c r="A29" s="50"/>
      <c r="B29" s="51"/>
      <c r="C29" s="61" t="e">
        <f>C28/$C$52</f>
        <v>#REF!</v>
      </c>
      <c r="D29" s="59"/>
      <c r="E29" s="59"/>
      <c r="F29" s="69"/>
      <c r="G29" s="69"/>
      <c r="H29" s="69"/>
      <c r="I29" s="69"/>
      <c r="J29" s="73">
        <v>0.75</v>
      </c>
      <c r="K29" s="73">
        <v>0.25</v>
      </c>
      <c r="L29" s="69"/>
      <c r="M29" s="69"/>
    </row>
    <row r="30" spans="1:15" s="68" customFormat="1" x14ac:dyDescent="0.2">
      <c r="A30" s="63"/>
      <c r="B30" s="64"/>
      <c r="C30" s="65"/>
      <c r="D30" s="59"/>
      <c r="E30" s="59"/>
      <c r="F30" s="59"/>
      <c r="G30" s="59"/>
      <c r="H30" s="59"/>
      <c r="I30" s="59"/>
      <c r="J30" s="59"/>
      <c r="K30" s="69"/>
      <c r="L30" s="69"/>
      <c r="M30" s="69"/>
    </row>
    <row r="31" spans="1:15" s="10" customFormat="1" x14ac:dyDescent="0.2">
      <c r="A31" s="55" t="s">
        <v>176</v>
      </c>
      <c r="B31" s="56" t="e">
        <f>#REF!</f>
        <v>#REF!</v>
      </c>
      <c r="C31" s="57" t="e">
        <f>#REF!</f>
        <v>#REF!</v>
      </c>
      <c r="D31" s="59"/>
      <c r="E31" s="59"/>
      <c r="F31" s="59"/>
      <c r="G31" s="59"/>
      <c r="H31" s="59"/>
      <c r="I31" s="59"/>
      <c r="J31" s="59"/>
      <c r="K31" s="57" t="e">
        <f>ROUND($C31*K32,2)</f>
        <v>#REF!</v>
      </c>
      <c r="L31" s="57" t="e">
        <f>ROUND($C31*L32,2)</f>
        <v>#REF!</v>
      </c>
      <c r="M31" s="69"/>
      <c r="O31" s="60" t="e">
        <f>C31-SUM(D31:M31)</f>
        <v>#REF!</v>
      </c>
    </row>
    <row r="32" spans="1:15" s="10" customFormat="1" x14ac:dyDescent="0.2">
      <c r="A32" s="50"/>
      <c r="B32" s="51"/>
      <c r="C32" s="61" t="e">
        <f>C31/$C$52</f>
        <v>#REF!</v>
      </c>
      <c r="D32" s="59"/>
      <c r="E32" s="59"/>
      <c r="F32" s="59"/>
      <c r="G32" s="59"/>
      <c r="H32" s="59"/>
      <c r="I32" s="59"/>
      <c r="J32" s="59"/>
      <c r="K32" s="73">
        <v>0.6</v>
      </c>
      <c r="L32" s="73">
        <v>0.4</v>
      </c>
      <c r="M32" s="69"/>
    </row>
    <row r="33" spans="1:15" s="68" customFormat="1" x14ac:dyDescent="0.2">
      <c r="A33" s="63"/>
      <c r="B33" s="64"/>
      <c r="C33" s="65"/>
      <c r="D33" s="59"/>
      <c r="E33" s="59"/>
      <c r="F33" s="59"/>
      <c r="G33" s="59"/>
      <c r="H33" s="59"/>
      <c r="I33" s="59"/>
      <c r="J33" s="59"/>
      <c r="K33" s="59"/>
      <c r="L33" s="67"/>
      <c r="M33" s="69"/>
    </row>
    <row r="34" spans="1:15" s="10" customFormat="1" x14ac:dyDescent="0.2">
      <c r="A34" s="55" t="s">
        <v>177</v>
      </c>
      <c r="B34" s="56" t="e">
        <f>#REF!</f>
        <v>#REF!</v>
      </c>
      <c r="C34" s="57" t="e">
        <f>#REF!</f>
        <v>#REF!</v>
      </c>
      <c r="D34" s="59"/>
      <c r="E34" s="59"/>
      <c r="F34" s="59"/>
      <c r="G34" s="59"/>
      <c r="H34" s="59"/>
      <c r="I34" s="59"/>
      <c r="J34" s="59"/>
      <c r="K34" s="59"/>
      <c r="L34" s="57" t="e">
        <f>ROUND($C34*L35,2)</f>
        <v>#REF!</v>
      </c>
      <c r="M34" s="57" t="e">
        <f>ROUND($C34*M35,2)</f>
        <v>#REF!</v>
      </c>
      <c r="O34" s="60" t="e">
        <f>C34-SUM(D34:M34)</f>
        <v>#REF!</v>
      </c>
    </row>
    <row r="35" spans="1:15" s="10" customFormat="1" x14ac:dyDescent="0.2">
      <c r="A35" s="50"/>
      <c r="B35" s="51"/>
      <c r="C35" s="61" t="e">
        <f>C34/$C$52</f>
        <v>#REF!</v>
      </c>
      <c r="D35" s="59"/>
      <c r="E35" s="59"/>
      <c r="F35" s="59"/>
      <c r="G35" s="59"/>
      <c r="H35" s="59"/>
      <c r="I35" s="59"/>
      <c r="J35" s="59"/>
      <c r="K35" s="59"/>
      <c r="L35" s="73">
        <v>0.4</v>
      </c>
      <c r="M35" s="73">
        <v>0.6</v>
      </c>
    </row>
    <row r="36" spans="1:15" s="68" customFormat="1" x14ac:dyDescent="0.2">
      <c r="A36" s="63"/>
      <c r="B36" s="64"/>
      <c r="C36" s="76"/>
      <c r="D36" s="59"/>
      <c r="E36" s="59"/>
      <c r="F36" s="59"/>
      <c r="G36" s="59"/>
      <c r="H36" s="59"/>
      <c r="I36" s="59"/>
      <c r="J36" s="59"/>
      <c r="K36" s="59"/>
      <c r="L36" s="59"/>
      <c r="M36" s="69"/>
    </row>
    <row r="37" spans="1:15" s="10" customFormat="1" x14ac:dyDescent="0.2">
      <c r="A37" s="55" t="s">
        <v>285</v>
      </c>
      <c r="B37" s="56" t="e">
        <f>#REF!</f>
        <v>#REF!</v>
      </c>
      <c r="C37" s="57" t="e">
        <f>#REF!</f>
        <v>#REF!</v>
      </c>
      <c r="D37" s="59"/>
      <c r="E37" s="59"/>
      <c r="F37" s="59"/>
      <c r="G37" s="59"/>
      <c r="H37" s="59"/>
      <c r="I37" s="59"/>
      <c r="J37" s="59"/>
      <c r="K37" s="59"/>
      <c r="L37" s="59"/>
      <c r="M37" s="57" t="e">
        <f>ROUND($C37*M38,2)</f>
        <v>#REF!</v>
      </c>
      <c r="O37" s="60" t="e">
        <f>C37-SUM(D37:M37)</f>
        <v>#REF!</v>
      </c>
    </row>
    <row r="38" spans="1:15" s="10" customFormat="1" x14ac:dyDescent="0.2">
      <c r="A38" s="50"/>
      <c r="B38" s="51"/>
      <c r="C38" s="61" t="e">
        <f>C37/$C$52</f>
        <v>#REF!</v>
      </c>
      <c r="D38" s="59"/>
      <c r="E38" s="59"/>
      <c r="F38" s="59"/>
      <c r="G38" s="59"/>
      <c r="H38" s="59"/>
      <c r="I38" s="59"/>
      <c r="J38" s="59"/>
      <c r="K38" s="59"/>
      <c r="L38" s="59"/>
      <c r="M38" s="73">
        <v>1</v>
      </c>
    </row>
    <row r="39" spans="1:15" s="68" customFormat="1" x14ac:dyDescent="0.2">
      <c r="A39" s="63"/>
      <c r="B39" s="64"/>
      <c r="C39" s="76"/>
      <c r="D39" s="59"/>
      <c r="E39" s="59"/>
      <c r="F39" s="59"/>
      <c r="G39" s="59"/>
      <c r="H39" s="59"/>
      <c r="I39" s="59"/>
      <c r="J39" s="59"/>
      <c r="K39" s="59"/>
      <c r="L39" s="59"/>
      <c r="M39" s="59"/>
    </row>
    <row r="40" spans="1:15" s="10" customFormat="1" x14ac:dyDescent="0.2">
      <c r="A40" s="55" t="s">
        <v>286</v>
      </c>
      <c r="B40" s="56" t="e">
        <f>#REF!</f>
        <v>#REF!</v>
      </c>
      <c r="C40" s="57" t="e">
        <f>#REF!</f>
        <v>#REF!</v>
      </c>
      <c r="D40" s="59"/>
      <c r="E40" s="59"/>
      <c r="F40" s="59"/>
      <c r="G40" s="59"/>
      <c r="H40" s="59"/>
      <c r="I40" s="59"/>
      <c r="J40" s="59"/>
      <c r="K40" s="57" t="e">
        <f>ROUND($C40*K41,2)</f>
        <v>#REF!</v>
      </c>
      <c r="L40" s="57" t="e">
        <f>ROUND($C40*L41,2)</f>
        <v>#REF!</v>
      </c>
      <c r="M40" s="59"/>
      <c r="O40" s="60" t="e">
        <f>C40-SUM(D40:M40)</f>
        <v>#REF!</v>
      </c>
    </row>
    <row r="41" spans="1:15" s="10" customFormat="1" x14ac:dyDescent="0.2">
      <c r="A41" s="50"/>
      <c r="B41" s="51"/>
      <c r="C41" s="61" t="e">
        <f>C40/$C$52</f>
        <v>#REF!</v>
      </c>
      <c r="D41" s="59"/>
      <c r="E41" s="59"/>
      <c r="F41" s="59"/>
      <c r="G41" s="59"/>
      <c r="H41" s="59"/>
      <c r="I41" s="59"/>
      <c r="J41" s="59"/>
      <c r="K41" s="73">
        <v>0.3</v>
      </c>
      <c r="L41" s="73">
        <v>0.7</v>
      </c>
      <c r="M41" s="59"/>
    </row>
    <row r="42" spans="1:15" s="68" customFormat="1" x14ac:dyDescent="0.2">
      <c r="A42" s="63"/>
      <c r="B42" s="64"/>
      <c r="C42" s="76"/>
      <c r="D42" s="59"/>
      <c r="E42" s="59"/>
      <c r="F42" s="59"/>
      <c r="G42" s="59"/>
      <c r="H42" s="59"/>
      <c r="I42" s="59"/>
      <c r="J42" s="59"/>
      <c r="K42" s="67"/>
      <c r="L42" s="59"/>
      <c r="M42" s="59"/>
    </row>
    <row r="43" spans="1:15" s="10" customFormat="1" x14ac:dyDescent="0.2">
      <c r="A43" s="55" t="s">
        <v>386</v>
      </c>
      <c r="B43" s="56" t="e">
        <f>#REF!</f>
        <v>#REF!</v>
      </c>
      <c r="C43" s="57" t="e">
        <f>#REF!</f>
        <v>#REF!</v>
      </c>
      <c r="D43" s="59"/>
      <c r="E43" s="59"/>
      <c r="F43" s="59"/>
      <c r="G43" s="59"/>
      <c r="H43" s="59"/>
      <c r="I43" s="59"/>
      <c r="J43" s="59"/>
      <c r="K43" s="57" t="e">
        <f>ROUND($C43*K44,2)</f>
        <v>#REF!</v>
      </c>
      <c r="L43" s="57" t="e">
        <f>ROUND($C43*L44,2)</f>
        <v>#REF!</v>
      </c>
      <c r="M43" s="59"/>
      <c r="O43" s="60" t="e">
        <f>C43-SUM(D43:M43)</f>
        <v>#REF!</v>
      </c>
    </row>
    <row r="44" spans="1:15" s="10" customFormat="1" x14ac:dyDescent="0.2">
      <c r="A44" s="50"/>
      <c r="B44" s="51"/>
      <c r="C44" s="61" t="e">
        <f>C43/$C$52</f>
        <v>#REF!</v>
      </c>
      <c r="D44" s="59"/>
      <c r="E44" s="59"/>
      <c r="F44" s="59"/>
      <c r="G44" s="59"/>
      <c r="H44" s="59"/>
      <c r="I44" s="59"/>
      <c r="J44" s="59"/>
      <c r="K44" s="73">
        <v>0.2</v>
      </c>
      <c r="L44" s="73">
        <v>0.8</v>
      </c>
      <c r="M44" s="59"/>
    </row>
    <row r="45" spans="1:15" s="68" customFormat="1" x14ac:dyDescent="0.2">
      <c r="A45" s="63"/>
      <c r="B45" s="64"/>
      <c r="C45" s="76"/>
      <c r="D45" s="59"/>
      <c r="E45" s="59"/>
      <c r="F45" s="59"/>
      <c r="G45" s="59"/>
      <c r="H45" s="59"/>
      <c r="I45" s="59"/>
      <c r="J45" s="59"/>
      <c r="K45" s="67"/>
      <c r="L45" s="59"/>
      <c r="M45" s="59"/>
    </row>
    <row r="46" spans="1:15" s="10" customFormat="1" x14ac:dyDescent="0.2">
      <c r="A46" s="55" t="s">
        <v>387</v>
      </c>
      <c r="B46" s="56" t="e">
        <f>#REF!</f>
        <v>#REF!</v>
      </c>
      <c r="C46" s="57" t="e">
        <f>#REF!</f>
        <v>#REF!</v>
      </c>
      <c r="D46" s="59"/>
      <c r="E46" s="59"/>
      <c r="F46" s="59"/>
      <c r="G46" s="59"/>
      <c r="H46" s="59"/>
      <c r="I46" s="59"/>
      <c r="J46" s="59"/>
      <c r="K46" s="59"/>
      <c r="L46" s="59"/>
      <c r="M46" s="57" t="e">
        <f>ROUND($C46*M47,2)</f>
        <v>#REF!</v>
      </c>
      <c r="O46" s="60" t="e">
        <f>C46-SUM(D46:M46)</f>
        <v>#REF!</v>
      </c>
    </row>
    <row r="47" spans="1:15" s="10" customFormat="1" x14ac:dyDescent="0.2">
      <c r="A47" s="50"/>
      <c r="B47" s="51"/>
      <c r="C47" s="61" t="e">
        <f>C46/$C$52</f>
        <v>#REF!</v>
      </c>
      <c r="D47" s="59"/>
      <c r="E47" s="59"/>
      <c r="F47" s="59"/>
      <c r="G47" s="59"/>
      <c r="H47" s="59"/>
      <c r="I47" s="59"/>
      <c r="J47" s="59"/>
      <c r="K47" s="59"/>
      <c r="L47" s="59"/>
      <c r="M47" s="73">
        <v>1</v>
      </c>
    </row>
    <row r="48" spans="1:15" s="68" customFormat="1" x14ac:dyDescent="0.2">
      <c r="A48" s="63"/>
      <c r="B48" s="64"/>
      <c r="C48" s="76"/>
      <c r="D48" s="71"/>
      <c r="E48" s="67"/>
      <c r="F48" s="67"/>
      <c r="G48" s="67"/>
      <c r="H48" s="67"/>
      <c r="I48" s="67"/>
      <c r="J48" s="67"/>
      <c r="K48" s="67"/>
      <c r="L48" s="59"/>
      <c r="M48" s="59"/>
    </row>
    <row r="49" spans="1:16" s="10" customFormat="1" x14ac:dyDescent="0.2">
      <c r="A49" s="55" t="s">
        <v>802</v>
      </c>
      <c r="B49" s="56" t="e">
        <f>#REF!</f>
        <v>#REF!</v>
      </c>
      <c r="C49" s="57" t="e">
        <f>#REF!</f>
        <v>#REF!</v>
      </c>
      <c r="D49" s="59"/>
      <c r="E49" s="59"/>
      <c r="F49" s="59"/>
      <c r="G49" s="59"/>
      <c r="H49" s="59"/>
      <c r="I49" s="59"/>
      <c r="J49" s="59"/>
      <c r="K49" s="59"/>
      <c r="L49" s="59"/>
      <c r="M49" s="57" t="e">
        <f>ROUND($C49*M50,2)</f>
        <v>#REF!</v>
      </c>
      <c r="O49" s="60" t="e">
        <f>C49-SUM(D49:M49)</f>
        <v>#REF!</v>
      </c>
    </row>
    <row r="50" spans="1:16" s="10" customFormat="1" x14ac:dyDescent="0.2">
      <c r="A50" s="50"/>
      <c r="B50" s="51"/>
      <c r="C50" s="61" t="e">
        <f>C49/$C$52</f>
        <v>#REF!</v>
      </c>
      <c r="D50" s="59"/>
      <c r="E50" s="59"/>
      <c r="F50" s="59"/>
      <c r="G50" s="59"/>
      <c r="H50" s="59"/>
      <c r="I50" s="59"/>
      <c r="J50" s="59"/>
      <c r="K50" s="59"/>
      <c r="L50" s="59"/>
      <c r="M50" s="73">
        <v>1</v>
      </c>
    </row>
    <row r="51" spans="1:16" s="68" customFormat="1" x14ac:dyDescent="0.2">
      <c r="A51" s="63"/>
      <c r="B51" s="64"/>
      <c r="C51" s="76"/>
      <c r="D51" s="71"/>
      <c r="E51" s="67"/>
      <c r="F51" s="67"/>
      <c r="G51" s="67"/>
      <c r="H51" s="67"/>
      <c r="I51" s="67"/>
      <c r="J51" s="67"/>
      <c r="K51" s="67"/>
      <c r="L51" s="59"/>
      <c r="M51" s="59"/>
    </row>
    <row r="52" spans="1:16" s="10" customFormat="1" x14ac:dyDescent="0.2">
      <c r="A52" s="395" t="s">
        <v>52</v>
      </c>
      <c r="B52" s="395"/>
      <c r="C52" s="58" t="e">
        <f>C10+C13+C16+C19+C22+C25+C28+C31+C34+C37+C40+C43+C49+C46</f>
        <v>#REF!</v>
      </c>
      <c r="D52" s="72"/>
      <c r="E52" s="59"/>
      <c r="F52" s="59"/>
      <c r="G52" s="59"/>
      <c r="H52" s="59"/>
      <c r="I52" s="59"/>
      <c r="J52" s="59"/>
      <c r="K52" s="59"/>
      <c r="L52" s="59"/>
      <c r="M52" s="59"/>
    </row>
    <row r="53" spans="1:16" s="10" customFormat="1" x14ac:dyDescent="0.2">
      <c r="A53" s="395"/>
      <c r="B53" s="395"/>
      <c r="C53" s="77" t="e">
        <f>C52/$C$52</f>
        <v>#REF!</v>
      </c>
      <c r="D53" s="72"/>
      <c r="E53" s="69"/>
      <c r="F53" s="69"/>
      <c r="G53" s="69"/>
      <c r="H53" s="69"/>
      <c r="I53" s="69"/>
      <c r="J53" s="69"/>
      <c r="K53" s="69"/>
      <c r="L53" s="69"/>
      <c r="M53" s="69"/>
    </row>
    <row r="54" spans="1:16" s="10" customFormat="1" x14ac:dyDescent="0.2">
      <c r="A54" s="78"/>
      <c r="B54" s="79"/>
      <c r="C54" s="80"/>
      <c r="D54" s="81"/>
      <c r="E54" s="82"/>
      <c r="F54" s="82"/>
      <c r="G54" s="82"/>
      <c r="H54" s="82"/>
      <c r="I54" s="82"/>
      <c r="J54" s="82"/>
      <c r="K54" s="82"/>
      <c r="L54" s="82"/>
      <c r="M54" s="82"/>
    </row>
    <row r="55" spans="1:16" s="46" customFormat="1" x14ac:dyDescent="0.2">
      <c r="A55" s="396" t="s">
        <v>58</v>
      </c>
      <c r="B55" s="396"/>
      <c r="C55" s="396"/>
      <c r="D55" s="140" t="e">
        <f t="shared" ref="D55:M55" si="2">SUM(D10,D13,D16,D19,D22,D25,D28,D46,D31,D34,D37,D40,D43,D49)</f>
        <v>#REF!</v>
      </c>
      <c r="E55" s="140" t="e">
        <f t="shared" si="2"/>
        <v>#REF!</v>
      </c>
      <c r="F55" s="140" t="e">
        <f t="shared" si="2"/>
        <v>#REF!</v>
      </c>
      <c r="G55" s="140" t="e">
        <f t="shared" si="2"/>
        <v>#REF!</v>
      </c>
      <c r="H55" s="140" t="e">
        <f t="shared" si="2"/>
        <v>#REF!</v>
      </c>
      <c r="I55" s="140" t="e">
        <f t="shared" si="2"/>
        <v>#REF!</v>
      </c>
      <c r="J55" s="140" t="e">
        <f t="shared" si="2"/>
        <v>#REF!</v>
      </c>
      <c r="K55" s="140" t="e">
        <f t="shared" si="2"/>
        <v>#REF!</v>
      </c>
      <c r="L55" s="140" t="e">
        <f t="shared" si="2"/>
        <v>#REF!</v>
      </c>
      <c r="M55" s="140" t="e">
        <f t="shared" si="2"/>
        <v>#REF!</v>
      </c>
    </row>
    <row r="56" spans="1:16" s="46" customFormat="1" ht="12" x14ac:dyDescent="0.2">
      <c r="A56" s="396"/>
      <c r="B56" s="396"/>
      <c r="C56" s="396"/>
      <c r="D56" s="141" t="e">
        <f t="shared" ref="D56:M56" si="3">D55/$C$52</f>
        <v>#REF!</v>
      </c>
      <c r="E56" s="141" t="e">
        <f t="shared" si="3"/>
        <v>#REF!</v>
      </c>
      <c r="F56" s="141" t="e">
        <f t="shared" si="3"/>
        <v>#REF!</v>
      </c>
      <c r="G56" s="141" t="e">
        <f t="shared" si="3"/>
        <v>#REF!</v>
      </c>
      <c r="H56" s="141" t="e">
        <f t="shared" si="3"/>
        <v>#REF!</v>
      </c>
      <c r="I56" s="141" t="e">
        <f t="shared" si="3"/>
        <v>#REF!</v>
      </c>
      <c r="J56" s="141" t="e">
        <f t="shared" si="3"/>
        <v>#REF!</v>
      </c>
      <c r="K56" s="141" t="e">
        <f t="shared" si="3"/>
        <v>#REF!</v>
      </c>
      <c r="L56" s="141" t="e">
        <f t="shared" si="3"/>
        <v>#REF!</v>
      </c>
      <c r="M56" s="141" t="e">
        <f t="shared" si="3"/>
        <v>#REF!</v>
      </c>
    </row>
    <row r="57" spans="1:16" s="10" customFormat="1" x14ac:dyDescent="0.2">
      <c r="A57" s="142"/>
      <c r="B57" s="143"/>
      <c r="C57" s="144"/>
      <c r="D57" s="43"/>
      <c r="E57" s="80"/>
      <c r="F57" s="83"/>
      <c r="G57" s="80"/>
      <c r="H57" s="83"/>
      <c r="I57" s="80"/>
      <c r="J57" s="83"/>
      <c r="K57" s="80"/>
      <c r="L57" s="83"/>
      <c r="M57" s="83"/>
    </row>
    <row r="58" spans="1:16" s="46" customFormat="1" x14ac:dyDescent="0.2">
      <c r="A58" s="396" t="s">
        <v>90</v>
      </c>
      <c r="B58" s="396"/>
      <c r="C58" s="396"/>
      <c r="D58" s="140" t="e">
        <f>D55</f>
        <v>#REF!</v>
      </c>
      <c r="E58" s="140" t="e">
        <f>E55+D58</f>
        <v>#REF!</v>
      </c>
      <c r="F58" s="140" t="e">
        <f t="shared" ref="F58:M58" si="4">F55+E58</f>
        <v>#REF!</v>
      </c>
      <c r="G58" s="140" t="e">
        <f t="shared" si="4"/>
        <v>#REF!</v>
      </c>
      <c r="H58" s="140" t="e">
        <f t="shared" si="4"/>
        <v>#REF!</v>
      </c>
      <c r="I58" s="140" t="e">
        <f t="shared" si="4"/>
        <v>#REF!</v>
      </c>
      <c r="J58" s="140" t="e">
        <f t="shared" si="4"/>
        <v>#REF!</v>
      </c>
      <c r="K58" s="140" t="e">
        <f t="shared" si="4"/>
        <v>#REF!</v>
      </c>
      <c r="L58" s="140" t="e">
        <f t="shared" si="4"/>
        <v>#REF!</v>
      </c>
      <c r="M58" s="140" t="e">
        <f t="shared" si="4"/>
        <v>#REF!</v>
      </c>
    </row>
    <row r="59" spans="1:16" s="46" customFormat="1" ht="12" x14ac:dyDescent="0.2">
      <c r="A59" s="396"/>
      <c r="B59" s="396"/>
      <c r="C59" s="396"/>
      <c r="D59" s="141" t="e">
        <f t="shared" ref="D59:M59" si="5">D58/$C$52</f>
        <v>#REF!</v>
      </c>
      <c r="E59" s="141" t="e">
        <f t="shared" si="5"/>
        <v>#REF!</v>
      </c>
      <c r="F59" s="141" t="e">
        <f t="shared" si="5"/>
        <v>#REF!</v>
      </c>
      <c r="G59" s="141" t="e">
        <f t="shared" si="5"/>
        <v>#REF!</v>
      </c>
      <c r="H59" s="141" t="e">
        <f t="shared" si="5"/>
        <v>#REF!</v>
      </c>
      <c r="I59" s="141" t="e">
        <f t="shared" si="5"/>
        <v>#REF!</v>
      </c>
      <c r="J59" s="141" t="e">
        <f t="shared" si="5"/>
        <v>#REF!</v>
      </c>
      <c r="K59" s="141" t="e">
        <f t="shared" si="5"/>
        <v>#REF!</v>
      </c>
      <c r="L59" s="141" t="e">
        <f t="shared" si="5"/>
        <v>#REF!</v>
      </c>
      <c r="M59" s="141" t="e">
        <f t="shared" si="5"/>
        <v>#REF!</v>
      </c>
    </row>
    <row r="60" spans="1:16" s="46" customFormat="1" x14ac:dyDescent="0.2">
      <c r="A60" s="50"/>
      <c r="B60" s="145"/>
      <c r="C60" s="145"/>
      <c r="F60" s="84"/>
      <c r="H60" s="84"/>
      <c r="J60" s="84"/>
      <c r="L60" s="84"/>
      <c r="M60" s="84"/>
    </row>
    <row r="61" spans="1:16" s="85" customFormat="1" ht="22.5" customHeight="1" x14ac:dyDescent="0.2">
      <c r="A61" s="389" t="s">
        <v>23</v>
      </c>
      <c r="B61" s="389"/>
      <c r="C61" s="389"/>
      <c r="D61" s="390" t="e">
        <f>SUM(D55:M55)</f>
        <v>#REF!</v>
      </c>
      <c r="E61" s="390"/>
      <c r="F61" s="390"/>
      <c r="G61" s="390"/>
      <c r="H61" s="390"/>
      <c r="I61" s="390"/>
      <c r="J61" s="390"/>
      <c r="K61" s="390"/>
      <c r="L61" s="390"/>
      <c r="M61" s="390"/>
      <c r="O61" s="86" t="e">
        <f>C52</f>
        <v>#REF!</v>
      </c>
      <c r="P61" s="87" t="e">
        <f>D61-O61</f>
        <v>#REF!</v>
      </c>
    </row>
    <row r="62" spans="1:16" x14ac:dyDescent="0.2">
      <c r="O62" s="88"/>
    </row>
    <row r="63" spans="1:16" x14ac:dyDescent="0.2">
      <c r="C63" s="89" t="e">
        <f>C52/12</f>
        <v>#REF!</v>
      </c>
      <c r="D63" s="90"/>
      <c r="E63" s="90"/>
      <c r="F63" s="90"/>
      <c r="G63" s="90"/>
      <c r="H63" s="90"/>
      <c r="I63" s="90"/>
      <c r="J63" s="90"/>
      <c r="K63" s="90"/>
      <c r="L63" s="90"/>
      <c r="M63" s="90"/>
      <c r="O63" s="87" t="s">
        <v>56</v>
      </c>
      <c r="P63" s="91" t="e">
        <f>O61/12</f>
        <v>#REF!</v>
      </c>
    </row>
  </sheetData>
  <mergeCells count="11">
    <mergeCell ref="A61:C61"/>
    <mergeCell ref="D61:M61"/>
    <mergeCell ref="A1:M1"/>
    <mergeCell ref="A7:A8"/>
    <mergeCell ref="B7:B8"/>
    <mergeCell ref="C7:C8"/>
    <mergeCell ref="D7:M7"/>
    <mergeCell ref="A52:B53"/>
    <mergeCell ref="A55:C56"/>
    <mergeCell ref="A58:C59"/>
    <mergeCell ref="B3:M3"/>
  </mergeCells>
  <phoneticPr fontId="7" type="noConversion"/>
  <printOptions horizontalCentered="1"/>
  <pageMargins left="0.39370078740157483" right="0.39370078740157483" top="0.78740157480314965" bottom="0.39370078740157483" header="3.937007874015748E-2" footer="0.19685039370078741"/>
  <pageSetup paperSize="9" scale="61" fitToHeight="0" orientation="portrait" horizontalDpi="300" verticalDpi="300" r:id="rId1"/>
  <headerFooter>
    <oddHeader>&amp;L&amp;G&amp;R&amp;G</oddHeader>
    <oddFooter>&amp;C&amp;G&amp;R&amp;"Arial,Normal"&amp;8Pág.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F92FB-0280-4A4D-BE3F-62E1CA2D7622}">
  <sheetPr>
    <tabColor rgb="FF00B050"/>
    <pageSetUpPr fitToPage="1"/>
  </sheetPr>
  <dimension ref="A1:W525"/>
  <sheetViews>
    <sheetView view="pageBreakPreview" zoomScale="115" zoomScaleNormal="100" zoomScaleSheetLayoutView="115" workbookViewId="0">
      <selection activeCell="H105" sqref="H105"/>
    </sheetView>
  </sheetViews>
  <sheetFormatPr defaultRowHeight="12" x14ac:dyDescent="0.2"/>
  <cols>
    <col min="1" max="1" width="12.28515625" style="177" customWidth="1"/>
    <col min="2" max="2" width="10.85546875" style="177" customWidth="1"/>
    <col min="3" max="3" width="53.28515625" style="177" customWidth="1"/>
    <col min="4" max="4" width="9.28515625" style="177" bestFit="1" customWidth="1"/>
    <col min="5" max="5" width="10.5703125" style="177" customWidth="1"/>
    <col min="6" max="6" width="9.85546875" style="177" customWidth="1"/>
    <col min="7" max="7" width="13" style="177" customWidth="1"/>
    <col min="8" max="8" width="8.28515625" style="177" customWidth="1"/>
    <col min="9" max="9" width="12.5703125" style="177" customWidth="1"/>
    <col min="10" max="10" width="15" style="177" bestFit="1" customWidth="1"/>
    <col min="11" max="12" width="9.28515625" style="177" bestFit="1" customWidth="1"/>
    <col min="13" max="257" width="9.140625" style="177"/>
    <col min="258" max="258" width="17.5703125" style="177" customWidth="1"/>
    <col min="259" max="259" width="47.5703125" style="177" customWidth="1"/>
    <col min="260" max="260" width="9.140625" style="177"/>
    <col min="261" max="261" width="10.28515625" style="177" customWidth="1"/>
    <col min="262" max="262" width="11.7109375" style="177" customWidth="1"/>
    <col min="263" max="263" width="15.85546875" style="177" customWidth="1"/>
    <col min="264" max="513" width="9.140625" style="177"/>
    <col min="514" max="514" width="17.5703125" style="177" customWidth="1"/>
    <col min="515" max="515" width="47.5703125" style="177" customWidth="1"/>
    <col min="516" max="516" width="9.140625" style="177"/>
    <col min="517" max="517" width="10.28515625" style="177" customWidth="1"/>
    <col min="518" max="518" width="11.7109375" style="177" customWidth="1"/>
    <col min="519" max="519" width="15.85546875" style="177" customWidth="1"/>
    <col min="520" max="769" width="9.140625" style="177"/>
    <col min="770" max="770" width="17.5703125" style="177" customWidth="1"/>
    <col min="771" max="771" width="47.5703125" style="177" customWidth="1"/>
    <col min="772" max="772" width="9.140625" style="177"/>
    <col min="773" max="773" width="10.28515625" style="177" customWidth="1"/>
    <col min="774" max="774" width="11.7109375" style="177" customWidth="1"/>
    <col min="775" max="775" width="15.85546875" style="177" customWidth="1"/>
    <col min="776" max="1025" width="9.140625" style="177"/>
    <col min="1026" max="1026" width="17.5703125" style="177" customWidth="1"/>
    <col min="1027" max="1027" width="47.5703125" style="177" customWidth="1"/>
    <col min="1028" max="1028" width="9.140625" style="177"/>
    <col min="1029" max="1029" width="10.28515625" style="177" customWidth="1"/>
    <col min="1030" max="1030" width="11.7109375" style="177" customWidth="1"/>
    <col min="1031" max="1031" width="15.85546875" style="177" customWidth="1"/>
    <col min="1032" max="1281" width="9.140625" style="177"/>
    <col min="1282" max="1282" width="17.5703125" style="177" customWidth="1"/>
    <col min="1283" max="1283" width="47.5703125" style="177" customWidth="1"/>
    <col min="1284" max="1284" width="9.140625" style="177"/>
    <col min="1285" max="1285" width="10.28515625" style="177" customWidth="1"/>
    <col min="1286" max="1286" width="11.7109375" style="177" customWidth="1"/>
    <col min="1287" max="1287" width="15.85546875" style="177" customWidth="1"/>
    <col min="1288" max="1537" width="9.140625" style="177"/>
    <col min="1538" max="1538" width="17.5703125" style="177" customWidth="1"/>
    <col min="1539" max="1539" width="47.5703125" style="177" customWidth="1"/>
    <col min="1540" max="1540" width="9.140625" style="177"/>
    <col min="1541" max="1541" width="10.28515625" style="177" customWidth="1"/>
    <col min="1542" max="1542" width="11.7109375" style="177" customWidth="1"/>
    <col min="1543" max="1543" width="15.85546875" style="177" customWidth="1"/>
    <col min="1544" max="1793" width="9.140625" style="177"/>
    <col min="1794" max="1794" width="17.5703125" style="177" customWidth="1"/>
    <col min="1795" max="1795" width="47.5703125" style="177" customWidth="1"/>
    <col min="1796" max="1796" width="9.140625" style="177"/>
    <col min="1797" max="1797" width="10.28515625" style="177" customWidth="1"/>
    <col min="1798" max="1798" width="11.7109375" style="177" customWidth="1"/>
    <col min="1799" max="1799" width="15.85546875" style="177" customWidth="1"/>
    <col min="1800" max="2049" width="9.140625" style="177"/>
    <col min="2050" max="2050" width="17.5703125" style="177" customWidth="1"/>
    <col min="2051" max="2051" width="47.5703125" style="177" customWidth="1"/>
    <col min="2052" max="2052" width="9.140625" style="177"/>
    <col min="2053" max="2053" width="10.28515625" style="177" customWidth="1"/>
    <col min="2054" max="2054" width="11.7109375" style="177" customWidth="1"/>
    <col min="2055" max="2055" width="15.85546875" style="177" customWidth="1"/>
    <col min="2056" max="2305" width="9.140625" style="177"/>
    <col min="2306" max="2306" width="17.5703125" style="177" customWidth="1"/>
    <col min="2307" max="2307" width="47.5703125" style="177" customWidth="1"/>
    <col min="2308" max="2308" width="9.140625" style="177"/>
    <col min="2309" max="2309" width="10.28515625" style="177" customWidth="1"/>
    <col min="2310" max="2310" width="11.7109375" style="177" customWidth="1"/>
    <col min="2311" max="2311" width="15.85546875" style="177" customWidth="1"/>
    <col min="2312" max="2561" width="9.140625" style="177"/>
    <col min="2562" max="2562" width="17.5703125" style="177" customWidth="1"/>
    <col min="2563" max="2563" width="47.5703125" style="177" customWidth="1"/>
    <col min="2564" max="2564" width="9.140625" style="177"/>
    <col min="2565" max="2565" width="10.28515625" style="177" customWidth="1"/>
    <col min="2566" max="2566" width="11.7109375" style="177" customWidth="1"/>
    <col min="2567" max="2567" width="15.85546875" style="177" customWidth="1"/>
    <col min="2568" max="2817" width="9.140625" style="177"/>
    <col min="2818" max="2818" width="17.5703125" style="177" customWidth="1"/>
    <col min="2819" max="2819" width="47.5703125" style="177" customWidth="1"/>
    <col min="2820" max="2820" width="9.140625" style="177"/>
    <col min="2821" max="2821" width="10.28515625" style="177" customWidth="1"/>
    <col min="2822" max="2822" width="11.7109375" style="177" customWidth="1"/>
    <col min="2823" max="2823" width="15.85546875" style="177" customWidth="1"/>
    <col min="2824" max="3073" width="9.140625" style="177"/>
    <col min="3074" max="3074" width="17.5703125" style="177" customWidth="1"/>
    <col min="3075" max="3075" width="47.5703125" style="177" customWidth="1"/>
    <col min="3076" max="3076" width="9.140625" style="177"/>
    <col min="3077" max="3077" width="10.28515625" style="177" customWidth="1"/>
    <col min="3078" max="3078" width="11.7109375" style="177" customWidth="1"/>
    <col min="3079" max="3079" width="15.85546875" style="177" customWidth="1"/>
    <col min="3080" max="3329" width="9.140625" style="177"/>
    <col min="3330" max="3330" width="17.5703125" style="177" customWidth="1"/>
    <col min="3331" max="3331" width="47.5703125" style="177" customWidth="1"/>
    <col min="3332" max="3332" width="9.140625" style="177"/>
    <col min="3333" max="3333" width="10.28515625" style="177" customWidth="1"/>
    <col min="3334" max="3334" width="11.7109375" style="177" customWidth="1"/>
    <col min="3335" max="3335" width="15.85546875" style="177" customWidth="1"/>
    <col min="3336" max="3585" width="9.140625" style="177"/>
    <col min="3586" max="3586" width="17.5703125" style="177" customWidth="1"/>
    <col min="3587" max="3587" width="47.5703125" style="177" customWidth="1"/>
    <col min="3588" max="3588" width="9.140625" style="177"/>
    <col min="3589" max="3589" width="10.28515625" style="177" customWidth="1"/>
    <col min="3590" max="3590" width="11.7109375" style="177" customWidth="1"/>
    <col min="3591" max="3591" width="15.85546875" style="177" customWidth="1"/>
    <col min="3592" max="3841" width="9.140625" style="177"/>
    <col min="3842" max="3842" width="17.5703125" style="177" customWidth="1"/>
    <col min="3843" max="3843" width="47.5703125" style="177" customWidth="1"/>
    <col min="3844" max="3844" width="9.140625" style="177"/>
    <col min="3845" max="3845" width="10.28515625" style="177" customWidth="1"/>
    <col min="3846" max="3846" width="11.7109375" style="177" customWidth="1"/>
    <col min="3847" max="3847" width="15.85546875" style="177" customWidth="1"/>
    <col min="3848" max="4097" width="9.140625" style="177"/>
    <col min="4098" max="4098" width="17.5703125" style="177" customWidth="1"/>
    <col min="4099" max="4099" width="47.5703125" style="177" customWidth="1"/>
    <col min="4100" max="4100" width="9.140625" style="177"/>
    <col min="4101" max="4101" width="10.28515625" style="177" customWidth="1"/>
    <col min="4102" max="4102" width="11.7109375" style="177" customWidth="1"/>
    <col min="4103" max="4103" width="15.85546875" style="177" customWidth="1"/>
    <col min="4104" max="4353" width="9.140625" style="177"/>
    <col min="4354" max="4354" width="17.5703125" style="177" customWidth="1"/>
    <col min="4355" max="4355" width="47.5703125" style="177" customWidth="1"/>
    <col min="4356" max="4356" width="9.140625" style="177"/>
    <col min="4357" max="4357" width="10.28515625" style="177" customWidth="1"/>
    <col min="4358" max="4358" width="11.7109375" style="177" customWidth="1"/>
    <col min="4359" max="4359" width="15.85546875" style="177" customWidth="1"/>
    <col min="4360" max="4609" width="9.140625" style="177"/>
    <col min="4610" max="4610" width="17.5703125" style="177" customWidth="1"/>
    <col min="4611" max="4611" width="47.5703125" style="177" customWidth="1"/>
    <col min="4612" max="4612" width="9.140625" style="177"/>
    <col min="4613" max="4613" width="10.28515625" style="177" customWidth="1"/>
    <col min="4614" max="4614" width="11.7109375" style="177" customWidth="1"/>
    <col min="4615" max="4615" width="15.85546875" style="177" customWidth="1"/>
    <col min="4616" max="4865" width="9.140625" style="177"/>
    <col min="4866" max="4866" width="17.5703125" style="177" customWidth="1"/>
    <col min="4867" max="4867" width="47.5703125" style="177" customWidth="1"/>
    <col min="4868" max="4868" width="9.140625" style="177"/>
    <col min="4869" max="4869" width="10.28515625" style="177" customWidth="1"/>
    <col min="4870" max="4870" width="11.7109375" style="177" customWidth="1"/>
    <col min="4871" max="4871" width="15.85546875" style="177" customWidth="1"/>
    <col min="4872" max="5121" width="9.140625" style="177"/>
    <col min="5122" max="5122" width="17.5703125" style="177" customWidth="1"/>
    <col min="5123" max="5123" width="47.5703125" style="177" customWidth="1"/>
    <col min="5124" max="5124" width="9.140625" style="177"/>
    <col min="5125" max="5125" width="10.28515625" style="177" customWidth="1"/>
    <col min="5126" max="5126" width="11.7109375" style="177" customWidth="1"/>
    <col min="5127" max="5127" width="15.85546875" style="177" customWidth="1"/>
    <col min="5128" max="5377" width="9.140625" style="177"/>
    <col min="5378" max="5378" width="17.5703125" style="177" customWidth="1"/>
    <col min="5379" max="5379" width="47.5703125" style="177" customWidth="1"/>
    <col min="5380" max="5380" width="9.140625" style="177"/>
    <col min="5381" max="5381" width="10.28515625" style="177" customWidth="1"/>
    <col min="5382" max="5382" width="11.7109375" style="177" customWidth="1"/>
    <col min="5383" max="5383" width="15.85546875" style="177" customWidth="1"/>
    <col min="5384" max="5633" width="9.140625" style="177"/>
    <col min="5634" max="5634" width="17.5703125" style="177" customWidth="1"/>
    <col min="5635" max="5635" width="47.5703125" style="177" customWidth="1"/>
    <col min="5636" max="5636" width="9.140625" style="177"/>
    <col min="5637" max="5637" width="10.28515625" style="177" customWidth="1"/>
    <col min="5638" max="5638" width="11.7109375" style="177" customWidth="1"/>
    <col min="5639" max="5639" width="15.85546875" style="177" customWidth="1"/>
    <col min="5640" max="5889" width="9.140625" style="177"/>
    <col min="5890" max="5890" width="17.5703125" style="177" customWidth="1"/>
    <col min="5891" max="5891" width="47.5703125" style="177" customWidth="1"/>
    <col min="5892" max="5892" width="9.140625" style="177"/>
    <col min="5893" max="5893" width="10.28515625" style="177" customWidth="1"/>
    <col min="5894" max="5894" width="11.7109375" style="177" customWidth="1"/>
    <col min="5895" max="5895" width="15.85546875" style="177" customWidth="1"/>
    <col min="5896" max="6145" width="9.140625" style="177"/>
    <col min="6146" max="6146" width="17.5703125" style="177" customWidth="1"/>
    <col min="6147" max="6147" width="47.5703125" style="177" customWidth="1"/>
    <col min="6148" max="6148" width="9.140625" style="177"/>
    <col min="6149" max="6149" width="10.28515625" style="177" customWidth="1"/>
    <col min="6150" max="6150" width="11.7109375" style="177" customWidth="1"/>
    <col min="6151" max="6151" width="15.85546875" style="177" customWidth="1"/>
    <col min="6152" max="6401" width="9.140625" style="177"/>
    <col min="6402" max="6402" width="17.5703125" style="177" customWidth="1"/>
    <col min="6403" max="6403" width="47.5703125" style="177" customWidth="1"/>
    <col min="6404" max="6404" width="9.140625" style="177"/>
    <col min="6405" max="6405" width="10.28515625" style="177" customWidth="1"/>
    <col min="6406" max="6406" width="11.7109375" style="177" customWidth="1"/>
    <col min="6407" max="6407" width="15.85546875" style="177" customWidth="1"/>
    <col min="6408" max="6657" width="9.140625" style="177"/>
    <col min="6658" max="6658" width="17.5703125" style="177" customWidth="1"/>
    <col min="6659" max="6659" width="47.5703125" style="177" customWidth="1"/>
    <col min="6660" max="6660" width="9.140625" style="177"/>
    <col min="6661" max="6661" width="10.28515625" style="177" customWidth="1"/>
    <col min="6662" max="6662" width="11.7109375" style="177" customWidth="1"/>
    <col min="6663" max="6663" width="15.85546875" style="177" customWidth="1"/>
    <col min="6664" max="6913" width="9.140625" style="177"/>
    <col min="6914" max="6914" width="17.5703125" style="177" customWidth="1"/>
    <col min="6915" max="6915" width="47.5703125" style="177" customWidth="1"/>
    <col min="6916" max="6916" width="9.140625" style="177"/>
    <col min="6917" max="6917" width="10.28515625" style="177" customWidth="1"/>
    <col min="6918" max="6918" width="11.7109375" style="177" customWidth="1"/>
    <col min="6919" max="6919" width="15.85546875" style="177" customWidth="1"/>
    <col min="6920" max="7169" width="9.140625" style="177"/>
    <col min="7170" max="7170" width="17.5703125" style="177" customWidth="1"/>
    <col min="7171" max="7171" width="47.5703125" style="177" customWidth="1"/>
    <col min="7172" max="7172" width="9.140625" style="177"/>
    <col min="7173" max="7173" width="10.28515625" style="177" customWidth="1"/>
    <col min="7174" max="7174" width="11.7109375" style="177" customWidth="1"/>
    <col min="7175" max="7175" width="15.85546875" style="177" customWidth="1"/>
    <col min="7176" max="7425" width="9.140625" style="177"/>
    <col min="7426" max="7426" width="17.5703125" style="177" customWidth="1"/>
    <col min="7427" max="7427" width="47.5703125" style="177" customWidth="1"/>
    <col min="7428" max="7428" width="9.140625" style="177"/>
    <col min="7429" max="7429" width="10.28515625" style="177" customWidth="1"/>
    <col min="7430" max="7430" width="11.7109375" style="177" customWidth="1"/>
    <col min="7431" max="7431" width="15.85546875" style="177" customWidth="1"/>
    <col min="7432" max="7681" width="9.140625" style="177"/>
    <col min="7682" max="7682" width="17.5703125" style="177" customWidth="1"/>
    <col min="7683" max="7683" width="47.5703125" style="177" customWidth="1"/>
    <col min="7684" max="7684" width="9.140625" style="177"/>
    <col min="7685" max="7685" width="10.28515625" style="177" customWidth="1"/>
    <col min="7686" max="7686" width="11.7109375" style="177" customWidth="1"/>
    <col min="7687" max="7687" width="15.85546875" style="177" customWidth="1"/>
    <col min="7688" max="7937" width="9.140625" style="177"/>
    <col min="7938" max="7938" width="17.5703125" style="177" customWidth="1"/>
    <col min="7939" max="7939" width="47.5703125" style="177" customWidth="1"/>
    <col min="7940" max="7940" width="9.140625" style="177"/>
    <col min="7941" max="7941" width="10.28515625" style="177" customWidth="1"/>
    <col min="7942" max="7942" width="11.7109375" style="177" customWidth="1"/>
    <col min="7943" max="7943" width="15.85546875" style="177" customWidth="1"/>
    <col min="7944" max="8193" width="9.140625" style="177"/>
    <col min="8194" max="8194" width="17.5703125" style="177" customWidth="1"/>
    <col min="8195" max="8195" width="47.5703125" style="177" customWidth="1"/>
    <col min="8196" max="8196" width="9.140625" style="177"/>
    <col min="8197" max="8197" width="10.28515625" style="177" customWidth="1"/>
    <col min="8198" max="8198" width="11.7109375" style="177" customWidth="1"/>
    <col min="8199" max="8199" width="15.85546875" style="177" customWidth="1"/>
    <col min="8200" max="8449" width="9.140625" style="177"/>
    <col min="8450" max="8450" width="17.5703125" style="177" customWidth="1"/>
    <col min="8451" max="8451" width="47.5703125" style="177" customWidth="1"/>
    <col min="8452" max="8452" width="9.140625" style="177"/>
    <col min="8453" max="8453" width="10.28515625" style="177" customWidth="1"/>
    <col min="8454" max="8454" width="11.7109375" style="177" customWidth="1"/>
    <col min="8455" max="8455" width="15.85546875" style="177" customWidth="1"/>
    <col min="8456" max="8705" width="9.140625" style="177"/>
    <col min="8706" max="8706" width="17.5703125" style="177" customWidth="1"/>
    <col min="8707" max="8707" width="47.5703125" style="177" customWidth="1"/>
    <col min="8708" max="8708" width="9.140625" style="177"/>
    <col min="8709" max="8709" width="10.28515625" style="177" customWidth="1"/>
    <col min="8710" max="8710" width="11.7109375" style="177" customWidth="1"/>
    <col min="8711" max="8711" width="15.85546875" style="177" customWidth="1"/>
    <col min="8712" max="8961" width="9.140625" style="177"/>
    <col min="8962" max="8962" width="17.5703125" style="177" customWidth="1"/>
    <col min="8963" max="8963" width="47.5703125" style="177" customWidth="1"/>
    <col min="8964" max="8964" width="9.140625" style="177"/>
    <col min="8965" max="8965" width="10.28515625" style="177" customWidth="1"/>
    <col min="8966" max="8966" width="11.7109375" style="177" customWidth="1"/>
    <col min="8967" max="8967" width="15.85546875" style="177" customWidth="1"/>
    <col min="8968" max="9217" width="9.140625" style="177"/>
    <col min="9218" max="9218" width="17.5703125" style="177" customWidth="1"/>
    <col min="9219" max="9219" width="47.5703125" style="177" customWidth="1"/>
    <col min="9220" max="9220" width="9.140625" style="177"/>
    <col min="9221" max="9221" width="10.28515625" style="177" customWidth="1"/>
    <col min="9222" max="9222" width="11.7109375" style="177" customWidth="1"/>
    <col min="9223" max="9223" width="15.85546875" style="177" customWidth="1"/>
    <col min="9224" max="9473" width="9.140625" style="177"/>
    <col min="9474" max="9474" width="17.5703125" style="177" customWidth="1"/>
    <col min="9475" max="9475" width="47.5703125" style="177" customWidth="1"/>
    <col min="9476" max="9476" width="9.140625" style="177"/>
    <col min="9477" max="9477" width="10.28515625" style="177" customWidth="1"/>
    <col min="9478" max="9478" width="11.7109375" style="177" customWidth="1"/>
    <col min="9479" max="9479" width="15.85546875" style="177" customWidth="1"/>
    <col min="9480" max="9729" width="9.140625" style="177"/>
    <col min="9730" max="9730" width="17.5703125" style="177" customWidth="1"/>
    <col min="9731" max="9731" width="47.5703125" style="177" customWidth="1"/>
    <col min="9732" max="9732" width="9.140625" style="177"/>
    <col min="9733" max="9733" width="10.28515625" style="177" customWidth="1"/>
    <col min="9734" max="9734" width="11.7109375" style="177" customWidth="1"/>
    <col min="9735" max="9735" width="15.85546875" style="177" customWidth="1"/>
    <col min="9736" max="9985" width="9.140625" style="177"/>
    <col min="9986" max="9986" width="17.5703125" style="177" customWidth="1"/>
    <col min="9987" max="9987" width="47.5703125" style="177" customWidth="1"/>
    <col min="9988" max="9988" width="9.140625" style="177"/>
    <col min="9989" max="9989" width="10.28515625" style="177" customWidth="1"/>
    <col min="9990" max="9990" width="11.7109375" style="177" customWidth="1"/>
    <col min="9991" max="9991" width="15.85546875" style="177" customWidth="1"/>
    <col min="9992" max="10241" width="9.140625" style="177"/>
    <col min="10242" max="10242" width="17.5703125" style="177" customWidth="1"/>
    <col min="10243" max="10243" width="47.5703125" style="177" customWidth="1"/>
    <col min="10244" max="10244" width="9.140625" style="177"/>
    <col min="10245" max="10245" width="10.28515625" style="177" customWidth="1"/>
    <col min="10246" max="10246" width="11.7109375" style="177" customWidth="1"/>
    <col min="10247" max="10247" width="15.85546875" style="177" customWidth="1"/>
    <col min="10248" max="10497" width="9.140625" style="177"/>
    <col min="10498" max="10498" width="17.5703125" style="177" customWidth="1"/>
    <col min="10499" max="10499" width="47.5703125" style="177" customWidth="1"/>
    <col min="10500" max="10500" width="9.140625" style="177"/>
    <col min="10501" max="10501" width="10.28515625" style="177" customWidth="1"/>
    <col min="10502" max="10502" width="11.7109375" style="177" customWidth="1"/>
    <col min="10503" max="10503" width="15.85546875" style="177" customWidth="1"/>
    <col min="10504" max="10753" width="9.140625" style="177"/>
    <col min="10754" max="10754" width="17.5703125" style="177" customWidth="1"/>
    <col min="10755" max="10755" width="47.5703125" style="177" customWidth="1"/>
    <col min="10756" max="10756" width="9.140625" style="177"/>
    <col min="10757" max="10757" width="10.28515625" style="177" customWidth="1"/>
    <col min="10758" max="10758" width="11.7109375" style="177" customWidth="1"/>
    <col min="10759" max="10759" width="15.85546875" style="177" customWidth="1"/>
    <col min="10760" max="11009" width="9.140625" style="177"/>
    <col min="11010" max="11010" width="17.5703125" style="177" customWidth="1"/>
    <col min="11011" max="11011" width="47.5703125" style="177" customWidth="1"/>
    <col min="11012" max="11012" width="9.140625" style="177"/>
    <col min="11013" max="11013" width="10.28515625" style="177" customWidth="1"/>
    <col min="11014" max="11014" width="11.7109375" style="177" customWidth="1"/>
    <col min="11015" max="11015" width="15.85546875" style="177" customWidth="1"/>
    <col min="11016" max="11265" width="9.140625" style="177"/>
    <col min="11266" max="11266" width="17.5703125" style="177" customWidth="1"/>
    <col min="11267" max="11267" width="47.5703125" style="177" customWidth="1"/>
    <col min="11268" max="11268" width="9.140625" style="177"/>
    <col min="11269" max="11269" width="10.28515625" style="177" customWidth="1"/>
    <col min="11270" max="11270" width="11.7109375" style="177" customWidth="1"/>
    <col min="11271" max="11271" width="15.85546875" style="177" customWidth="1"/>
    <col min="11272" max="11521" width="9.140625" style="177"/>
    <col min="11522" max="11522" width="17.5703125" style="177" customWidth="1"/>
    <col min="11523" max="11523" width="47.5703125" style="177" customWidth="1"/>
    <col min="11524" max="11524" width="9.140625" style="177"/>
    <col min="11525" max="11525" width="10.28515625" style="177" customWidth="1"/>
    <col min="11526" max="11526" width="11.7109375" style="177" customWidth="1"/>
    <col min="11527" max="11527" width="15.85546875" style="177" customWidth="1"/>
    <col min="11528" max="11777" width="9.140625" style="177"/>
    <col min="11778" max="11778" width="17.5703125" style="177" customWidth="1"/>
    <col min="11779" max="11779" width="47.5703125" style="177" customWidth="1"/>
    <col min="11780" max="11780" width="9.140625" style="177"/>
    <col min="11781" max="11781" width="10.28515625" style="177" customWidth="1"/>
    <col min="11782" max="11782" width="11.7109375" style="177" customWidth="1"/>
    <col min="11783" max="11783" width="15.85546875" style="177" customWidth="1"/>
    <col min="11784" max="12033" width="9.140625" style="177"/>
    <col min="12034" max="12034" width="17.5703125" style="177" customWidth="1"/>
    <col min="12035" max="12035" width="47.5703125" style="177" customWidth="1"/>
    <col min="12036" max="12036" width="9.140625" style="177"/>
    <col min="12037" max="12037" width="10.28515625" style="177" customWidth="1"/>
    <col min="12038" max="12038" width="11.7109375" style="177" customWidth="1"/>
    <col min="12039" max="12039" width="15.85546875" style="177" customWidth="1"/>
    <col min="12040" max="12289" width="9.140625" style="177"/>
    <col min="12290" max="12290" width="17.5703125" style="177" customWidth="1"/>
    <col min="12291" max="12291" width="47.5703125" style="177" customWidth="1"/>
    <col min="12292" max="12292" width="9.140625" style="177"/>
    <col min="12293" max="12293" width="10.28515625" style="177" customWidth="1"/>
    <col min="12294" max="12294" width="11.7109375" style="177" customWidth="1"/>
    <col min="12295" max="12295" width="15.85546875" style="177" customWidth="1"/>
    <col min="12296" max="12545" width="9.140625" style="177"/>
    <col min="12546" max="12546" width="17.5703125" style="177" customWidth="1"/>
    <col min="12547" max="12547" width="47.5703125" style="177" customWidth="1"/>
    <col min="12548" max="12548" width="9.140625" style="177"/>
    <col min="12549" max="12549" width="10.28515625" style="177" customWidth="1"/>
    <col min="12550" max="12550" width="11.7109375" style="177" customWidth="1"/>
    <col min="12551" max="12551" width="15.85546875" style="177" customWidth="1"/>
    <col min="12552" max="12801" width="9.140625" style="177"/>
    <col min="12802" max="12802" width="17.5703125" style="177" customWidth="1"/>
    <col min="12803" max="12803" width="47.5703125" style="177" customWidth="1"/>
    <col min="12804" max="12804" width="9.140625" style="177"/>
    <col min="12805" max="12805" width="10.28515625" style="177" customWidth="1"/>
    <col min="12806" max="12806" width="11.7109375" style="177" customWidth="1"/>
    <col min="12807" max="12807" width="15.85546875" style="177" customWidth="1"/>
    <col min="12808" max="13057" width="9.140625" style="177"/>
    <col min="13058" max="13058" width="17.5703125" style="177" customWidth="1"/>
    <col min="13059" max="13059" width="47.5703125" style="177" customWidth="1"/>
    <col min="13060" max="13060" width="9.140625" style="177"/>
    <col min="13061" max="13061" width="10.28515625" style="177" customWidth="1"/>
    <col min="13062" max="13062" width="11.7109375" style="177" customWidth="1"/>
    <col min="13063" max="13063" width="15.85546875" style="177" customWidth="1"/>
    <col min="13064" max="13313" width="9.140625" style="177"/>
    <col min="13314" max="13314" width="17.5703125" style="177" customWidth="1"/>
    <col min="13315" max="13315" width="47.5703125" style="177" customWidth="1"/>
    <col min="13316" max="13316" width="9.140625" style="177"/>
    <col min="13317" max="13317" width="10.28515625" style="177" customWidth="1"/>
    <col min="13318" max="13318" width="11.7109375" style="177" customWidth="1"/>
    <col min="13319" max="13319" width="15.85546875" style="177" customWidth="1"/>
    <col min="13320" max="13569" width="9.140625" style="177"/>
    <col min="13570" max="13570" width="17.5703125" style="177" customWidth="1"/>
    <col min="13571" max="13571" width="47.5703125" style="177" customWidth="1"/>
    <col min="13572" max="13572" width="9.140625" style="177"/>
    <col min="13573" max="13573" width="10.28515625" style="177" customWidth="1"/>
    <col min="13574" max="13574" width="11.7109375" style="177" customWidth="1"/>
    <col min="13575" max="13575" width="15.85546875" style="177" customWidth="1"/>
    <col min="13576" max="13825" width="9.140625" style="177"/>
    <col min="13826" max="13826" width="17.5703125" style="177" customWidth="1"/>
    <col min="13827" max="13827" width="47.5703125" style="177" customWidth="1"/>
    <col min="13828" max="13828" width="9.140625" style="177"/>
    <col min="13829" max="13829" width="10.28515625" style="177" customWidth="1"/>
    <col min="13830" max="13830" width="11.7109375" style="177" customWidth="1"/>
    <col min="13831" max="13831" width="15.85546875" style="177" customWidth="1"/>
    <col min="13832" max="14081" width="9.140625" style="177"/>
    <col min="14082" max="14082" width="17.5703125" style="177" customWidth="1"/>
    <col min="14083" max="14083" width="47.5703125" style="177" customWidth="1"/>
    <col min="14084" max="14084" width="9.140625" style="177"/>
    <col min="14085" max="14085" width="10.28515625" style="177" customWidth="1"/>
    <col min="14086" max="14086" width="11.7109375" style="177" customWidth="1"/>
    <col min="14087" max="14087" width="15.85546875" style="177" customWidth="1"/>
    <col min="14088" max="14337" width="9.140625" style="177"/>
    <col min="14338" max="14338" width="17.5703125" style="177" customWidth="1"/>
    <col min="14339" max="14339" width="47.5703125" style="177" customWidth="1"/>
    <col min="14340" max="14340" width="9.140625" style="177"/>
    <col min="14341" max="14341" width="10.28515625" style="177" customWidth="1"/>
    <col min="14342" max="14342" width="11.7109375" style="177" customWidth="1"/>
    <col min="14343" max="14343" width="15.85546875" style="177" customWidth="1"/>
    <col min="14344" max="14593" width="9.140625" style="177"/>
    <col min="14594" max="14594" width="17.5703125" style="177" customWidth="1"/>
    <col min="14595" max="14595" width="47.5703125" style="177" customWidth="1"/>
    <col min="14596" max="14596" width="9.140625" style="177"/>
    <col min="14597" max="14597" width="10.28515625" style="177" customWidth="1"/>
    <col min="14598" max="14598" width="11.7109375" style="177" customWidth="1"/>
    <col min="14599" max="14599" width="15.85546875" style="177" customWidth="1"/>
    <col min="14600" max="14849" width="9.140625" style="177"/>
    <col min="14850" max="14850" width="17.5703125" style="177" customWidth="1"/>
    <col min="14851" max="14851" width="47.5703125" style="177" customWidth="1"/>
    <col min="14852" max="14852" width="9.140625" style="177"/>
    <col min="14853" max="14853" width="10.28515625" style="177" customWidth="1"/>
    <col min="14854" max="14854" width="11.7109375" style="177" customWidth="1"/>
    <col min="14855" max="14855" width="15.85546875" style="177" customWidth="1"/>
    <col min="14856" max="15105" width="9.140625" style="177"/>
    <col min="15106" max="15106" width="17.5703125" style="177" customWidth="1"/>
    <col min="15107" max="15107" width="47.5703125" style="177" customWidth="1"/>
    <col min="15108" max="15108" width="9.140625" style="177"/>
    <col min="15109" max="15109" width="10.28515625" style="177" customWidth="1"/>
    <col min="15110" max="15110" width="11.7109375" style="177" customWidth="1"/>
    <col min="15111" max="15111" width="15.85546875" style="177" customWidth="1"/>
    <col min="15112" max="15361" width="9.140625" style="177"/>
    <col min="15362" max="15362" width="17.5703125" style="177" customWidth="1"/>
    <col min="15363" max="15363" width="47.5703125" style="177" customWidth="1"/>
    <col min="15364" max="15364" width="9.140625" style="177"/>
    <col min="15365" max="15365" width="10.28515625" style="177" customWidth="1"/>
    <col min="15366" max="15366" width="11.7109375" style="177" customWidth="1"/>
    <col min="15367" max="15367" width="15.85546875" style="177" customWidth="1"/>
    <col min="15368" max="15617" width="9.140625" style="177"/>
    <col min="15618" max="15618" width="17.5703125" style="177" customWidth="1"/>
    <col min="15619" max="15619" width="47.5703125" style="177" customWidth="1"/>
    <col min="15620" max="15620" width="9.140625" style="177"/>
    <col min="15621" max="15621" width="10.28515625" style="177" customWidth="1"/>
    <col min="15622" max="15622" width="11.7109375" style="177" customWidth="1"/>
    <col min="15623" max="15623" width="15.85546875" style="177" customWidth="1"/>
    <col min="15624" max="15873" width="9.140625" style="177"/>
    <col min="15874" max="15874" width="17.5703125" style="177" customWidth="1"/>
    <col min="15875" max="15875" width="47.5703125" style="177" customWidth="1"/>
    <col min="15876" max="15876" width="9.140625" style="177"/>
    <col min="15877" max="15877" width="10.28515625" style="177" customWidth="1"/>
    <col min="15878" max="15878" width="11.7109375" style="177" customWidth="1"/>
    <col min="15879" max="15879" width="15.85546875" style="177" customWidth="1"/>
    <col min="15880" max="16129" width="9.140625" style="177"/>
    <col min="16130" max="16130" width="17.5703125" style="177" customWidth="1"/>
    <col min="16131" max="16131" width="47.5703125" style="177" customWidth="1"/>
    <col min="16132" max="16132" width="9.140625" style="177"/>
    <col min="16133" max="16133" width="10.28515625" style="177" customWidth="1"/>
    <col min="16134" max="16134" width="11.7109375" style="177" customWidth="1"/>
    <col min="16135" max="16135" width="15.85546875" style="177" customWidth="1"/>
    <col min="16136" max="16384" width="9.140625" style="177"/>
  </cols>
  <sheetData>
    <row r="1" spans="1:23" s="5" customFormat="1" x14ac:dyDescent="0.2"/>
    <row r="2" spans="1:23" s="5" customFormat="1" ht="15" x14ac:dyDescent="0.2">
      <c r="A2" s="426" t="s">
        <v>179</v>
      </c>
      <c r="B2" s="427"/>
      <c r="C2" s="427"/>
      <c r="D2" s="427"/>
      <c r="E2" s="427"/>
      <c r="F2" s="427"/>
      <c r="G2" s="427"/>
      <c r="H2" s="427"/>
      <c r="I2" s="428"/>
    </row>
    <row r="3" spans="1:23" s="5" customFormat="1" x14ac:dyDescent="0.2"/>
    <row r="4" spans="1:23" s="5" customFormat="1" ht="12.75" customHeight="1" x14ac:dyDescent="0.2">
      <c r="A4" s="233" t="str">
        <f>Orçamento!A3</f>
        <v>OBRA: AMPLIAÇÃO DA ESCOLA MUNICIPAL EPAMINONDAS MENDONÇA - ITEM 02</v>
      </c>
      <c r="B4" s="146"/>
      <c r="C4" s="146"/>
      <c r="D4" s="146"/>
      <c r="E4" s="146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</row>
    <row r="5" spans="1:23" s="5" customFormat="1" ht="12.75" x14ac:dyDescent="0.2">
      <c r="A5" s="233" t="e">
        <f>#REF!</f>
        <v>#REF!</v>
      </c>
      <c r="B5" s="148"/>
      <c r="C5" s="148"/>
      <c r="D5" s="148"/>
      <c r="E5" s="148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</row>
    <row r="6" spans="1:23" s="5" customFormat="1" ht="12.75" x14ac:dyDescent="0.2">
      <c r="A6" s="234" t="str">
        <f>Orçamento!A6</f>
        <v>DATA BASE: AGOSTO/2024</v>
      </c>
      <c r="B6" s="148"/>
      <c r="C6" s="148"/>
      <c r="D6" s="148"/>
      <c r="E6" s="148"/>
      <c r="L6" s="150" t="s">
        <v>180</v>
      </c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</row>
    <row r="7" spans="1:23" s="5" customFormat="1" x14ac:dyDescent="0.2"/>
    <row r="8" spans="1:23" s="5" customFormat="1" x14ac:dyDescent="0.2">
      <c r="A8" s="402" t="s">
        <v>314</v>
      </c>
      <c r="B8" s="403"/>
      <c r="C8" s="403"/>
      <c r="D8" s="403"/>
      <c r="E8" s="403"/>
      <c r="F8" s="403"/>
      <c r="G8" s="403"/>
      <c r="H8" s="403"/>
      <c r="I8" s="404"/>
    </row>
    <row r="9" spans="1:23" s="5" customFormat="1" ht="13.5" customHeight="1" x14ac:dyDescent="0.2">
      <c r="A9" s="405"/>
      <c r="B9" s="406"/>
      <c r="C9" s="406"/>
      <c r="D9" s="406"/>
      <c r="E9" s="406"/>
      <c r="F9" s="406"/>
      <c r="G9" s="406"/>
      <c r="H9" s="406"/>
      <c r="I9" s="407"/>
    </row>
    <row r="10" spans="1:23" s="5" customFormat="1" ht="10.15" customHeight="1" x14ac:dyDescent="0.2">
      <c r="A10" s="408" t="s">
        <v>204</v>
      </c>
      <c r="B10" s="408"/>
      <c r="C10" s="151" t="s">
        <v>181</v>
      </c>
      <c r="D10" s="414"/>
      <c r="E10" s="414"/>
      <c r="F10" s="414"/>
      <c r="G10" s="414"/>
      <c r="H10" s="414"/>
      <c r="I10" s="414"/>
    </row>
    <row r="11" spans="1:23" s="5" customFormat="1" ht="11.25" customHeight="1" x14ac:dyDescent="0.2">
      <c r="A11" s="409"/>
      <c r="B11" s="409"/>
      <c r="C11" s="416" t="s">
        <v>182</v>
      </c>
      <c r="D11" s="417" t="s">
        <v>314</v>
      </c>
      <c r="E11" s="417"/>
      <c r="F11" s="417"/>
      <c r="G11" s="417"/>
      <c r="H11" s="417"/>
      <c r="I11" s="417"/>
    </row>
    <row r="12" spans="1:23" s="5" customFormat="1" ht="11.25" customHeight="1" x14ac:dyDescent="0.2">
      <c r="A12" s="409"/>
      <c r="B12" s="409"/>
      <c r="C12" s="416"/>
      <c r="D12" s="417"/>
      <c r="E12" s="417"/>
      <c r="F12" s="417"/>
      <c r="G12" s="417"/>
      <c r="H12" s="417"/>
      <c r="I12" s="417"/>
    </row>
    <row r="13" spans="1:23" s="5" customFormat="1" ht="11.25" customHeight="1" x14ac:dyDescent="0.2">
      <c r="A13" s="409"/>
      <c r="B13" s="409"/>
      <c r="C13" s="416"/>
      <c r="D13" s="417"/>
      <c r="E13" s="418"/>
      <c r="F13" s="418"/>
      <c r="G13" s="418"/>
      <c r="H13" s="418"/>
      <c r="I13" s="418"/>
    </row>
    <row r="14" spans="1:23" s="5" customFormat="1" ht="10.15" customHeight="1" x14ac:dyDescent="0.2">
      <c r="A14" s="409"/>
      <c r="B14" s="409"/>
      <c r="C14" s="152" t="s">
        <v>183</v>
      </c>
      <c r="D14" s="153" t="s">
        <v>112</v>
      </c>
      <c r="E14" s="424" t="s">
        <v>184</v>
      </c>
      <c r="F14" s="420">
        <f>G20</f>
        <v>20560.689999999999</v>
      </c>
      <c r="G14" s="420"/>
      <c r="H14" s="421">
        <f>I20</f>
        <v>23678.33</v>
      </c>
      <c r="I14" s="421"/>
    </row>
    <row r="15" spans="1:23" s="5" customFormat="1" ht="14.45" customHeight="1" x14ac:dyDescent="0.2">
      <c r="A15" s="409"/>
      <c r="B15" s="409"/>
      <c r="C15" s="152" t="s">
        <v>185</v>
      </c>
      <c r="D15" s="153">
        <v>1</v>
      </c>
      <c r="E15" s="425"/>
      <c r="F15" s="420"/>
      <c r="G15" s="420"/>
      <c r="H15" s="421"/>
      <c r="I15" s="421"/>
      <c r="L15" s="154"/>
      <c r="M15" s="154"/>
    </row>
    <row r="16" spans="1:23" s="5" customFormat="1" x14ac:dyDescent="0.2">
      <c r="A16" s="2"/>
      <c r="B16" s="2"/>
      <c r="C16" s="3"/>
      <c r="D16" s="4"/>
      <c r="E16" s="92"/>
      <c r="F16" s="422" t="s">
        <v>186</v>
      </c>
      <c r="G16" s="422"/>
      <c r="H16" s="423" t="s">
        <v>187</v>
      </c>
      <c r="I16" s="423"/>
    </row>
    <row r="17" spans="1:13" s="162" customFormat="1" ht="24" x14ac:dyDescent="0.25">
      <c r="A17" s="155" t="s">
        <v>188</v>
      </c>
      <c r="B17" s="155" t="s">
        <v>189</v>
      </c>
      <c r="C17" s="156" t="s">
        <v>108</v>
      </c>
      <c r="D17" s="157" t="s">
        <v>183</v>
      </c>
      <c r="E17" s="158" t="s">
        <v>190</v>
      </c>
      <c r="F17" s="159" t="s">
        <v>191</v>
      </c>
      <c r="G17" s="160" t="s">
        <v>192</v>
      </c>
      <c r="H17" s="161" t="s">
        <v>191</v>
      </c>
      <c r="I17" s="160" t="s">
        <v>192</v>
      </c>
    </row>
    <row r="18" spans="1:13" s="5" customFormat="1" x14ac:dyDescent="0.2">
      <c r="A18" s="163" t="s">
        <v>59</v>
      </c>
      <c r="B18" s="163" t="s">
        <v>315</v>
      </c>
      <c r="C18" s="164" t="s">
        <v>317</v>
      </c>
      <c r="D18" s="165" t="s">
        <v>318</v>
      </c>
      <c r="E18" s="166">
        <f>(1/5)*10</f>
        <v>2</v>
      </c>
      <c r="F18" s="167" t="s">
        <v>572</v>
      </c>
      <c r="G18" s="168">
        <f>TRUNC($E18*F18,2)</f>
        <v>11024</v>
      </c>
      <c r="H18" s="169" t="s">
        <v>573</v>
      </c>
      <c r="I18" s="170">
        <f>TRUNC($E18*H18,2)</f>
        <v>12636.86</v>
      </c>
      <c r="J18" s="5">
        <f>1300000</f>
        <v>1300000</v>
      </c>
      <c r="K18" s="5">
        <f>J18*0.03</f>
        <v>39000</v>
      </c>
      <c r="L18" s="154"/>
      <c r="M18" s="154"/>
    </row>
    <row r="19" spans="1:13" s="5" customFormat="1" ht="24" x14ac:dyDescent="0.2">
      <c r="A19" s="163" t="s">
        <v>59</v>
      </c>
      <c r="B19" s="171" t="s">
        <v>316</v>
      </c>
      <c r="C19" s="164" t="s">
        <v>319</v>
      </c>
      <c r="D19" s="165" t="s">
        <v>318</v>
      </c>
      <c r="E19" s="166">
        <f>(0.25/5)*10</f>
        <v>0.5</v>
      </c>
      <c r="F19" s="167" t="s">
        <v>803</v>
      </c>
      <c r="G19" s="168">
        <f>TRUNC($E19*F19,2)</f>
        <v>9536.69</v>
      </c>
      <c r="H19" s="169" t="s">
        <v>804</v>
      </c>
      <c r="I19" s="170">
        <f>TRUNC($E19*H19,2)</f>
        <v>11041.47</v>
      </c>
      <c r="J19" s="172">
        <v>1389881.19</v>
      </c>
      <c r="L19" s="154"/>
      <c r="M19" s="154"/>
    </row>
    <row r="20" spans="1:13" s="5" customFormat="1" ht="14.45" customHeight="1" x14ac:dyDescent="0.2">
      <c r="A20" s="173"/>
      <c r="B20" s="173"/>
      <c r="C20" s="173"/>
      <c r="D20" s="173"/>
      <c r="E20" s="173"/>
      <c r="F20" s="174" t="s">
        <v>201</v>
      </c>
      <c r="G20" s="174">
        <f>TRUNC(SUM(G18:G19),2)</f>
        <v>20560.689999999999</v>
      </c>
      <c r="H20" s="174" t="s">
        <v>201</v>
      </c>
      <c r="I20" s="174">
        <f>TRUNC(SUM(I18:I19),2)</f>
        <v>23678.33</v>
      </c>
      <c r="J20" s="175">
        <f>J19*0.02</f>
        <v>27797.623800000001</v>
      </c>
      <c r="L20" s="154"/>
      <c r="M20" s="154"/>
    </row>
    <row r="21" spans="1:13" x14ac:dyDescent="0.2">
      <c r="A21" s="182"/>
      <c r="B21" s="182"/>
      <c r="C21" s="182"/>
      <c r="D21" s="182"/>
      <c r="E21" s="182"/>
      <c r="F21" s="183"/>
      <c r="G21" s="183"/>
      <c r="H21" s="183"/>
      <c r="I21" s="183"/>
    </row>
    <row r="22" spans="1:13" s="5" customFormat="1" x14ac:dyDescent="0.2">
      <c r="A22" s="402" t="s">
        <v>250</v>
      </c>
      <c r="B22" s="403"/>
      <c r="C22" s="403"/>
      <c r="D22" s="403"/>
      <c r="E22" s="403"/>
      <c r="F22" s="403"/>
      <c r="G22" s="403"/>
      <c r="H22" s="403"/>
      <c r="I22" s="404"/>
    </row>
    <row r="23" spans="1:13" s="5" customFormat="1" ht="13.5" customHeight="1" x14ac:dyDescent="0.2">
      <c r="A23" s="405"/>
      <c r="B23" s="406"/>
      <c r="C23" s="406"/>
      <c r="D23" s="406"/>
      <c r="E23" s="406"/>
      <c r="F23" s="406"/>
      <c r="G23" s="406"/>
      <c r="H23" s="406"/>
      <c r="I23" s="407"/>
    </row>
    <row r="24" spans="1:13" s="5" customFormat="1" ht="10.15" customHeight="1" x14ac:dyDescent="0.2">
      <c r="A24" s="408" t="s">
        <v>208</v>
      </c>
      <c r="B24" s="408"/>
      <c r="C24" s="151" t="s">
        <v>181</v>
      </c>
      <c r="D24" s="414" t="s">
        <v>248</v>
      </c>
      <c r="E24" s="414"/>
      <c r="F24" s="414"/>
      <c r="G24" s="414"/>
      <c r="H24" s="414"/>
      <c r="I24" s="414"/>
    </row>
    <row r="25" spans="1:13" s="5" customFormat="1" ht="11.25" customHeight="1" x14ac:dyDescent="0.2">
      <c r="A25" s="409"/>
      <c r="B25" s="409"/>
      <c r="C25" s="416" t="s">
        <v>182</v>
      </c>
      <c r="D25" s="417" t="s">
        <v>249</v>
      </c>
      <c r="E25" s="417"/>
      <c r="F25" s="417"/>
      <c r="G25" s="417"/>
      <c r="H25" s="417"/>
      <c r="I25" s="417"/>
    </row>
    <row r="26" spans="1:13" s="5" customFormat="1" ht="11.25" customHeight="1" x14ac:dyDescent="0.2">
      <c r="A26" s="409"/>
      <c r="B26" s="409"/>
      <c r="C26" s="416"/>
      <c r="D26" s="417"/>
      <c r="E26" s="417"/>
      <c r="F26" s="417"/>
      <c r="G26" s="417"/>
      <c r="H26" s="417"/>
      <c r="I26" s="417"/>
    </row>
    <row r="27" spans="1:13" s="5" customFormat="1" ht="15.75" customHeight="1" x14ac:dyDescent="0.2">
      <c r="A27" s="409"/>
      <c r="B27" s="409"/>
      <c r="C27" s="416"/>
      <c r="D27" s="417"/>
      <c r="E27" s="418"/>
      <c r="F27" s="418"/>
      <c r="G27" s="418"/>
      <c r="H27" s="418"/>
      <c r="I27" s="418"/>
    </row>
    <row r="28" spans="1:13" s="5" customFormat="1" ht="10.15" customHeight="1" x14ac:dyDescent="0.2">
      <c r="A28" s="409"/>
      <c r="B28" s="409"/>
      <c r="C28" s="152" t="s">
        <v>183</v>
      </c>
      <c r="D28" s="153" t="s">
        <v>112</v>
      </c>
      <c r="E28" s="424" t="s">
        <v>184</v>
      </c>
      <c r="F28" s="420">
        <f>G36</f>
        <v>80.94</v>
      </c>
      <c r="G28" s="420"/>
      <c r="H28" s="421">
        <f>I36</f>
        <v>86.21</v>
      </c>
      <c r="I28" s="421"/>
    </row>
    <row r="29" spans="1:13" s="5" customFormat="1" ht="14.45" customHeight="1" x14ac:dyDescent="0.2">
      <c r="A29" s="409"/>
      <c r="B29" s="409"/>
      <c r="C29" s="152" t="s">
        <v>185</v>
      </c>
      <c r="D29" s="153">
        <v>1</v>
      </c>
      <c r="E29" s="425"/>
      <c r="F29" s="420"/>
      <c r="G29" s="420"/>
      <c r="H29" s="421"/>
      <c r="I29" s="421"/>
      <c r="L29" s="154"/>
      <c r="M29" s="154"/>
    </row>
    <row r="30" spans="1:13" s="5" customFormat="1" x14ac:dyDescent="0.2">
      <c r="A30" s="2"/>
      <c r="B30" s="2"/>
      <c r="C30" s="3"/>
      <c r="D30" s="4"/>
      <c r="E30" s="92"/>
      <c r="F30" s="422" t="s">
        <v>186</v>
      </c>
      <c r="G30" s="422"/>
      <c r="H30" s="423" t="s">
        <v>187</v>
      </c>
      <c r="I30" s="423"/>
    </row>
    <row r="31" spans="1:13" s="162" customFormat="1" ht="24" x14ac:dyDescent="0.25">
      <c r="A31" s="155" t="s">
        <v>188</v>
      </c>
      <c r="B31" s="155" t="s">
        <v>189</v>
      </c>
      <c r="C31" s="156" t="s">
        <v>108</v>
      </c>
      <c r="D31" s="157" t="s">
        <v>183</v>
      </c>
      <c r="E31" s="158" t="s">
        <v>190</v>
      </c>
      <c r="F31" s="159" t="s">
        <v>191</v>
      </c>
      <c r="G31" s="160" t="s">
        <v>192</v>
      </c>
      <c r="H31" s="161" t="s">
        <v>191</v>
      </c>
      <c r="I31" s="160" t="s">
        <v>192</v>
      </c>
    </row>
    <row r="32" spans="1:13" s="5" customFormat="1" ht="24" x14ac:dyDescent="0.2">
      <c r="A32" s="163" t="s">
        <v>196</v>
      </c>
      <c r="B32" s="163" t="s">
        <v>251</v>
      </c>
      <c r="C32" s="164" t="s">
        <v>252</v>
      </c>
      <c r="D32" s="165" t="s">
        <v>118</v>
      </c>
      <c r="E32" s="166">
        <v>1.38E-2</v>
      </c>
      <c r="F32" s="167">
        <v>492.68</v>
      </c>
      <c r="G32" s="168">
        <f>TRUNC($E32*F32,2)</f>
        <v>6.79</v>
      </c>
      <c r="H32" s="169">
        <v>503.94</v>
      </c>
      <c r="I32" s="170">
        <f>TRUNC($E32*H32,2)</f>
        <v>6.95</v>
      </c>
      <c r="L32" s="154"/>
      <c r="M32" s="154"/>
    </row>
    <row r="33" spans="1:13" s="5" customFormat="1" ht="24" x14ac:dyDescent="0.2">
      <c r="A33" s="163" t="s">
        <v>196</v>
      </c>
      <c r="B33" s="171" t="s">
        <v>197</v>
      </c>
      <c r="C33" s="164" t="s">
        <v>198</v>
      </c>
      <c r="D33" s="165" t="s">
        <v>103</v>
      </c>
      <c r="E33" s="166">
        <v>1.1399999999999999</v>
      </c>
      <c r="F33" s="167">
        <v>22.63</v>
      </c>
      <c r="G33" s="168">
        <f>TRUNC($E33*F33,2)</f>
        <v>25.79</v>
      </c>
      <c r="H33" s="169">
        <v>25.46</v>
      </c>
      <c r="I33" s="170">
        <f>TRUNC($E33*H33,2)</f>
        <v>29.02</v>
      </c>
      <c r="L33" s="154"/>
      <c r="M33" s="154"/>
    </row>
    <row r="34" spans="1:13" s="5" customFormat="1" ht="24" x14ac:dyDescent="0.2">
      <c r="A34" s="163" t="s">
        <v>196</v>
      </c>
      <c r="B34" s="171" t="s">
        <v>199</v>
      </c>
      <c r="C34" s="164" t="s">
        <v>200</v>
      </c>
      <c r="D34" s="165" t="s">
        <v>103</v>
      </c>
      <c r="E34" s="166">
        <v>0.88</v>
      </c>
      <c r="F34" s="167">
        <v>18.14</v>
      </c>
      <c r="G34" s="168">
        <f>TRUNC($E34*F34,2)</f>
        <v>15.96</v>
      </c>
      <c r="H34" s="169">
        <v>20.28</v>
      </c>
      <c r="I34" s="170">
        <f>TRUNC($E34*H34,2)</f>
        <v>17.84</v>
      </c>
      <c r="L34" s="154"/>
      <c r="M34" s="154"/>
    </row>
    <row r="35" spans="1:13" s="5" customFormat="1" ht="24" x14ac:dyDescent="0.2">
      <c r="A35" s="163" t="s">
        <v>193</v>
      </c>
      <c r="B35" s="171" t="s">
        <v>194</v>
      </c>
      <c r="C35" s="164" t="s">
        <v>253</v>
      </c>
      <c r="D35" s="165" t="s">
        <v>195</v>
      </c>
      <c r="E35" s="166">
        <v>54</v>
      </c>
      <c r="F35" s="167">
        <v>0.6</v>
      </c>
      <c r="G35" s="168">
        <f>TRUNC($E35*F35,2)</f>
        <v>32.4</v>
      </c>
      <c r="H35" s="169">
        <v>0.6</v>
      </c>
      <c r="I35" s="170">
        <f>TRUNC($E35*H35,2)</f>
        <v>32.4</v>
      </c>
      <c r="L35" s="154"/>
      <c r="M35" s="154"/>
    </row>
    <row r="36" spans="1:13" s="5" customFormat="1" ht="14.45" customHeight="1" x14ac:dyDescent="0.2">
      <c r="A36" s="173"/>
      <c r="B36" s="173"/>
      <c r="C36" s="173"/>
      <c r="D36" s="173"/>
      <c r="E36" s="173"/>
      <c r="F36" s="174" t="s">
        <v>201</v>
      </c>
      <c r="G36" s="174">
        <f>TRUNC(SUM(G32:G35),2)</f>
        <v>80.94</v>
      </c>
      <c r="H36" s="174" t="s">
        <v>201</v>
      </c>
      <c r="I36" s="174">
        <f>TRUNC(SUM(I32:I35),2)</f>
        <v>86.21</v>
      </c>
      <c r="J36" s="175"/>
      <c r="L36" s="154"/>
      <c r="M36" s="154"/>
    </row>
    <row r="37" spans="1:13" s="5" customFormat="1" x14ac:dyDescent="0.2">
      <c r="A37" s="235"/>
      <c r="B37" s="235"/>
      <c r="C37" s="235"/>
      <c r="D37" s="235"/>
      <c r="E37" s="235"/>
      <c r="F37" s="236"/>
      <c r="G37" s="236"/>
      <c r="H37" s="236"/>
      <c r="I37" s="236"/>
    </row>
    <row r="38" spans="1:13" s="5" customFormat="1" ht="15.75" customHeight="1" x14ac:dyDescent="0.2">
      <c r="A38" s="402" t="s">
        <v>340</v>
      </c>
      <c r="B38" s="403"/>
      <c r="C38" s="403"/>
      <c r="D38" s="403"/>
      <c r="E38" s="403"/>
      <c r="F38" s="403"/>
      <c r="G38" s="403"/>
      <c r="H38" s="403"/>
      <c r="I38" s="404"/>
    </row>
    <row r="39" spans="1:13" s="5" customFormat="1" ht="13.5" customHeight="1" x14ac:dyDescent="0.2">
      <c r="A39" s="405"/>
      <c r="B39" s="406"/>
      <c r="C39" s="406"/>
      <c r="D39" s="406"/>
      <c r="E39" s="406"/>
      <c r="F39" s="406"/>
      <c r="G39" s="406"/>
      <c r="H39" s="406"/>
      <c r="I39" s="407"/>
    </row>
    <row r="40" spans="1:13" s="5" customFormat="1" ht="10.15" customHeight="1" x14ac:dyDescent="0.2">
      <c r="A40" s="408" t="s">
        <v>202</v>
      </c>
      <c r="B40" s="408"/>
      <c r="C40" s="151" t="s">
        <v>181</v>
      </c>
      <c r="D40" s="414" t="s">
        <v>263</v>
      </c>
      <c r="E40" s="414"/>
      <c r="F40" s="414"/>
      <c r="G40" s="414"/>
      <c r="H40" s="414"/>
      <c r="I40" s="414"/>
    </row>
    <row r="41" spans="1:13" s="5" customFormat="1" ht="11.25" customHeight="1" x14ac:dyDescent="0.2">
      <c r="A41" s="409"/>
      <c r="B41" s="409"/>
      <c r="C41" s="416" t="s">
        <v>182</v>
      </c>
      <c r="D41" s="417" t="s">
        <v>262</v>
      </c>
      <c r="E41" s="417"/>
      <c r="F41" s="417"/>
      <c r="G41" s="417"/>
      <c r="H41" s="417"/>
      <c r="I41" s="417"/>
    </row>
    <row r="42" spans="1:13" s="5" customFormat="1" ht="11.25" customHeight="1" x14ac:dyDescent="0.2">
      <c r="A42" s="409"/>
      <c r="B42" s="409"/>
      <c r="C42" s="416"/>
      <c r="D42" s="417"/>
      <c r="E42" s="417"/>
      <c r="F42" s="417"/>
      <c r="G42" s="417"/>
      <c r="H42" s="417"/>
      <c r="I42" s="417"/>
    </row>
    <row r="43" spans="1:13" s="5" customFormat="1" ht="11.25" customHeight="1" x14ac:dyDescent="0.2">
      <c r="A43" s="409"/>
      <c r="B43" s="409"/>
      <c r="C43" s="416"/>
      <c r="D43" s="417"/>
      <c r="E43" s="418"/>
      <c r="F43" s="418"/>
      <c r="G43" s="418"/>
      <c r="H43" s="418"/>
      <c r="I43" s="418"/>
    </row>
    <row r="44" spans="1:13" s="5" customFormat="1" ht="10.15" customHeight="1" x14ac:dyDescent="0.2">
      <c r="A44" s="409"/>
      <c r="B44" s="409"/>
      <c r="C44" s="152" t="s">
        <v>183</v>
      </c>
      <c r="D44" s="153" t="s">
        <v>115</v>
      </c>
      <c r="E44" s="424" t="s">
        <v>184</v>
      </c>
      <c r="F44" s="420">
        <f>G55</f>
        <v>139.03</v>
      </c>
      <c r="G44" s="420"/>
      <c r="H44" s="421">
        <f>I55</f>
        <v>150.63999999999999</v>
      </c>
      <c r="I44" s="421"/>
    </row>
    <row r="45" spans="1:13" s="5" customFormat="1" ht="14.45" customHeight="1" x14ac:dyDescent="0.2">
      <c r="A45" s="409"/>
      <c r="B45" s="409"/>
      <c r="C45" s="152" t="s">
        <v>185</v>
      </c>
      <c r="D45" s="153">
        <v>1</v>
      </c>
      <c r="E45" s="425"/>
      <c r="F45" s="420"/>
      <c r="G45" s="420"/>
      <c r="H45" s="421"/>
      <c r="I45" s="421"/>
      <c r="L45" s="154"/>
      <c r="M45" s="154"/>
    </row>
    <row r="46" spans="1:13" s="5" customFormat="1" x14ac:dyDescent="0.2">
      <c r="A46" s="2"/>
      <c r="B46" s="2"/>
      <c r="C46" s="3"/>
      <c r="D46" s="4"/>
      <c r="E46" s="92"/>
      <c r="F46" s="422" t="s">
        <v>186</v>
      </c>
      <c r="G46" s="422"/>
      <c r="H46" s="423" t="s">
        <v>187</v>
      </c>
      <c r="I46" s="423"/>
    </row>
    <row r="47" spans="1:13" s="162" customFormat="1" ht="24" x14ac:dyDescent="0.25">
      <c r="A47" s="155" t="s">
        <v>188</v>
      </c>
      <c r="B47" s="155" t="s">
        <v>189</v>
      </c>
      <c r="C47" s="156" t="s">
        <v>108</v>
      </c>
      <c r="D47" s="157" t="s">
        <v>183</v>
      </c>
      <c r="E47" s="158" t="s">
        <v>190</v>
      </c>
      <c r="F47" s="159" t="s">
        <v>191</v>
      </c>
      <c r="G47" s="160" t="s">
        <v>192</v>
      </c>
      <c r="H47" s="161" t="s">
        <v>191</v>
      </c>
      <c r="I47" s="160" t="s">
        <v>192</v>
      </c>
    </row>
    <row r="48" spans="1:13" s="5" customFormat="1" ht="24" x14ac:dyDescent="0.2">
      <c r="A48" s="237" t="s">
        <v>196</v>
      </c>
      <c r="B48" s="238" t="s">
        <v>210</v>
      </c>
      <c r="C48" s="164" t="s">
        <v>211</v>
      </c>
      <c r="D48" s="165" t="s">
        <v>109</v>
      </c>
      <c r="E48" s="239">
        <v>2.2000000000000002</v>
      </c>
      <c r="F48" s="167">
        <v>6.65</v>
      </c>
      <c r="G48" s="240">
        <f t="shared" ref="G48:G54" si="0">TRUNC($E48*F48,2)</f>
        <v>14.63</v>
      </c>
      <c r="H48" s="192">
        <v>7.48</v>
      </c>
      <c r="I48" s="170">
        <f t="shared" ref="I48:I54" si="1">TRUNC($E48*H48,2)</f>
        <v>16.45</v>
      </c>
      <c r="L48" s="154"/>
      <c r="M48" s="154"/>
    </row>
    <row r="49" spans="1:13" s="5" customFormat="1" ht="24" x14ac:dyDescent="0.2">
      <c r="A49" s="237" t="s">
        <v>196</v>
      </c>
      <c r="B49" s="238" t="s">
        <v>212</v>
      </c>
      <c r="C49" s="164" t="s">
        <v>213</v>
      </c>
      <c r="D49" s="165" t="s">
        <v>115</v>
      </c>
      <c r="E49" s="239">
        <v>1</v>
      </c>
      <c r="F49" s="190">
        <v>4.4000000000000004</v>
      </c>
      <c r="G49" s="367">
        <f t="shared" si="0"/>
        <v>4.4000000000000004</v>
      </c>
      <c r="H49" s="241">
        <v>4.95</v>
      </c>
      <c r="I49" s="170">
        <f t="shared" si="1"/>
        <v>4.95</v>
      </c>
      <c r="L49" s="154"/>
      <c r="M49" s="154"/>
    </row>
    <row r="50" spans="1:13" s="5" customFormat="1" ht="36" x14ac:dyDescent="0.2">
      <c r="A50" s="237" t="s">
        <v>196</v>
      </c>
      <c r="B50" s="238" t="s">
        <v>214</v>
      </c>
      <c r="C50" s="164" t="s">
        <v>215</v>
      </c>
      <c r="D50" s="165" t="s">
        <v>109</v>
      </c>
      <c r="E50" s="239">
        <v>2.2000000000000002</v>
      </c>
      <c r="F50" s="167">
        <v>12.72</v>
      </c>
      <c r="G50" s="240">
        <f t="shared" si="0"/>
        <v>27.98</v>
      </c>
      <c r="H50" s="241">
        <v>14.02</v>
      </c>
      <c r="I50" s="170">
        <f t="shared" si="1"/>
        <v>30.84</v>
      </c>
      <c r="L50" s="154"/>
      <c r="M50" s="154"/>
    </row>
    <row r="51" spans="1:13" s="5" customFormat="1" ht="36" x14ac:dyDescent="0.2">
      <c r="A51" s="237" t="s">
        <v>196</v>
      </c>
      <c r="B51" s="238" t="s">
        <v>265</v>
      </c>
      <c r="C51" s="164" t="s">
        <v>266</v>
      </c>
      <c r="D51" s="165" t="s">
        <v>109</v>
      </c>
      <c r="E51" s="239">
        <v>2.2000000000000002</v>
      </c>
      <c r="F51" s="167">
        <v>8.51</v>
      </c>
      <c r="G51" s="240">
        <f t="shared" si="0"/>
        <v>18.72</v>
      </c>
      <c r="H51" s="241">
        <v>9.19</v>
      </c>
      <c r="I51" s="170">
        <f t="shared" si="1"/>
        <v>20.21</v>
      </c>
      <c r="L51" s="154"/>
      <c r="M51" s="154"/>
    </row>
    <row r="52" spans="1:13" s="5" customFormat="1" ht="36" x14ac:dyDescent="0.2">
      <c r="A52" s="237" t="s">
        <v>196</v>
      </c>
      <c r="B52" s="238" t="s">
        <v>225</v>
      </c>
      <c r="C52" s="164" t="s">
        <v>226</v>
      </c>
      <c r="D52" s="165" t="s">
        <v>109</v>
      </c>
      <c r="E52" s="239">
        <v>4.4000000000000004</v>
      </c>
      <c r="F52" s="167">
        <v>3.71</v>
      </c>
      <c r="G52" s="240">
        <f t="shared" si="0"/>
        <v>16.32</v>
      </c>
      <c r="H52" s="241">
        <v>3.85</v>
      </c>
      <c r="I52" s="170">
        <f t="shared" si="1"/>
        <v>16.940000000000001</v>
      </c>
      <c r="L52" s="154"/>
      <c r="M52" s="154"/>
    </row>
    <row r="53" spans="1:13" s="5" customFormat="1" ht="24" x14ac:dyDescent="0.2">
      <c r="A53" s="237" t="s">
        <v>196</v>
      </c>
      <c r="B53" s="238" t="s">
        <v>218</v>
      </c>
      <c r="C53" s="164" t="s">
        <v>219</v>
      </c>
      <c r="D53" s="165" t="s">
        <v>115</v>
      </c>
      <c r="E53" s="239">
        <v>1</v>
      </c>
      <c r="F53" s="167">
        <v>16.260000000000002</v>
      </c>
      <c r="G53" s="240">
        <f t="shared" si="0"/>
        <v>16.260000000000002</v>
      </c>
      <c r="H53" s="241">
        <v>17.79</v>
      </c>
      <c r="I53" s="170">
        <f t="shared" si="1"/>
        <v>17.79</v>
      </c>
      <c r="L53" s="154"/>
      <c r="M53" s="154"/>
    </row>
    <row r="54" spans="1:13" s="5" customFormat="1" ht="24" x14ac:dyDescent="0.2">
      <c r="A54" s="237" t="s">
        <v>196</v>
      </c>
      <c r="B54" s="242">
        <v>91959</v>
      </c>
      <c r="C54" s="243" t="s">
        <v>339</v>
      </c>
      <c r="D54" s="165" t="s">
        <v>115</v>
      </c>
      <c r="E54" s="239">
        <v>1</v>
      </c>
      <c r="F54" s="167">
        <v>40.72</v>
      </c>
      <c r="G54" s="240">
        <f t="shared" si="0"/>
        <v>40.72</v>
      </c>
      <c r="H54" s="241">
        <v>43.46</v>
      </c>
      <c r="I54" s="170">
        <f t="shared" si="1"/>
        <v>43.46</v>
      </c>
      <c r="L54" s="154"/>
      <c r="M54" s="154"/>
    </row>
    <row r="55" spans="1:13" s="5" customFormat="1" ht="14.45" customHeight="1" x14ac:dyDescent="0.2">
      <c r="A55" s="173"/>
      <c r="B55" s="173"/>
      <c r="C55" s="173"/>
      <c r="D55" s="173"/>
      <c r="E55" s="173"/>
      <c r="F55" s="174" t="s">
        <v>201</v>
      </c>
      <c r="G55" s="174">
        <f>TRUNC(SUM(G48:G54),2)</f>
        <v>139.03</v>
      </c>
      <c r="H55" s="174" t="s">
        <v>201</v>
      </c>
      <c r="I55" s="174">
        <f>TRUNC(SUM(I48:I54),2)</f>
        <v>150.63999999999999</v>
      </c>
      <c r="J55" s="175"/>
      <c r="L55" s="154"/>
      <c r="M55" s="154"/>
    </row>
    <row r="56" spans="1:13" s="5" customFormat="1" x14ac:dyDescent="0.2">
      <c r="A56" s="235"/>
      <c r="B56" s="235"/>
      <c r="C56" s="235"/>
      <c r="D56" s="235"/>
      <c r="E56" s="235"/>
      <c r="F56" s="236"/>
      <c r="G56" s="236"/>
      <c r="H56" s="236"/>
      <c r="I56" s="236"/>
    </row>
    <row r="57" spans="1:13" s="5" customFormat="1" x14ac:dyDescent="0.2">
      <c r="A57" s="402" t="s">
        <v>264</v>
      </c>
      <c r="B57" s="403"/>
      <c r="C57" s="403"/>
      <c r="D57" s="403"/>
      <c r="E57" s="403"/>
      <c r="F57" s="403"/>
      <c r="G57" s="403"/>
      <c r="H57" s="403"/>
      <c r="I57" s="404"/>
    </row>
    <row r="58" spans="1:13" s="5" customFormat="1" ht="23.25" customHeight="1" x14ac:dyDescent="0.2">
      <c r="A58" s="405"/>
      <c r="B58" s="406"/>
      <c r="C58" s="406"/>
      <c r="D58" s="406"/>
      <c r="E58" s="406"/>
      <c r="F58" s="406"/>
      <c r="G58" s="406"/>
      <c r="H58" s="406"/>
      <c r="I58" s="407"/>
    </row>
    <row r="59" spans="1:13" s="5" customFormat="1" ht="10.15" customHeight="1" x14ac:dyDescent="0.2">
      <c r="A59" s="408" t="s">
        <v>209</v>
      </c>
      <c r="B59" s="408"/>
      <c r="C59" s="151" t="s">
        <v>181</v>
      </c>
      <c r="D59" s="414" t="s">
        <v>263</v>
      </c>
      <c r="E59" s="414"/>
      <c r="F59" s="414"/>
      <c r="G59" s="414"/>
      <c r="H59" s="414"/>
      <c r="I59" s="414"/>
    </row>
    <row r="60" spans="1:13" s="5" customFormat="1" ht="11.25" customHeight="1" x14ac:dyDescent="0.2">
      <c r="A60" s="409"/>
      <c r="B60" s="409"/>
      <c r="C60" s="416" t="s">
        <v>182</v>
      </c>
      <c r="D60" s="417" t="s">
        <v>262</v>
      </c>
      <c r="E60" s="417"/>
      <c r="F60" s="417"/>
      <c r="G60" s="417"/>
      <c r="H60" s="417"/>
      <c r="I60" s="417"/>
    </row>
    <row r="61" spans="1:13" s="5" customFormat="1" ht="36" customHeight="1" x14ac:dyDescent="0.2">
      <c r="A61" s="409"/>
      <c r="B61" s="409"/>
      <c r="C61" s="416"/>
      <c r="D61" s="417"/>
      <c r="E61" s="418"/>
      <c r="F61" s="418"/>
      <c r="G61" s="418"/>
      <c r="H61" s="418"/>
      <c r="I61" s="418"/>
      <c r="L61" s="246" t="s">
        <v>220</v>
      </c>
    </row>
    <row r="62" spans="1:13" s="5" customFormat="1" ht="10.15" customHeight="1" x14ac:dyDescent="0.2">
      <c r="A62" s="409"/>
      <c r="B62" s="409"/>
      <c r="C62" s="152" t="s">
        <v>183</v>
      </c>
      <c r="D62" s="153" t="s">
        <v>115</v>
      </c>
      <c r="E62" s="424" t="s">
        <v>184</v>
      </c>
      <c r="F62" s="420">
        <f>G69</f>
        <v>47.34</v>
      </c>
      <c r="G62" s="420"/>
      <c r="H62" s="421">
        <f>I69</f>
        <v>50.41</v>
      </c>
      <c r="I62" s="421"/>
    </row>
    <row r="63" spans="1:13" s="5" customFormat="1" ht="14.45" customHeight="1" x14ac:dyDescent="0.2">
      <c r="A63" s="409"/>
      <c r="B63" s="409"/>
      <c r="C63" s="152" t="s">
        <v>185</v>
      </c>
      <c r="D63" s="153">
        <v>1</v>
      </c>
      <c r="E63" s="425"/>
      <c r="F63" s="420"/>
      <c r="G63" s="420"/>
      <c r="H63" s="421"/>
      <c r="I63" s="421"/>
      <c r="K63" s="154"/>
      <c r="L63" s="154"/>
      <c r="M63" s="154"/>
    </row>
    <row r="64" spans="1:13" s="5" customFormat="1" x14ac:dyDescent="0.2">
      <c r="A64" s="2"/>
      <c r="B64" s="2"/>
      <c r="C64" s="3"/>
      <c r="D64" s="4"/>
      <c r="E64" s="92"/>
      <c r="F64" s="422" t="s">
        <v>186</v>
      </c>
      <c r="G64" s="422"/>
      <c r="H64" s="423" t="s">
        <v>187</v>
      </c>
      <c r="I64" s="423"/>
    </row>
    <row r="65" spans="1:13" s="162" customFormat="1" ht="24" x14ac:dyDescent="0.25">
      <c r="A65" s="155" t="s">
        <v>188</v>
      </c>
      <c r="B65" s="155" t="s">
        <v>189</v>
      </c>
      <c r="C65" s="156" t="s">
        <v>108</v>
      </c>
      <c r="D65" s="157" t="s">
        <v>183</v>
      </c>
      <c r="E65" s="158" t="s">
        <v>190</v>
      </c>
      <c r="F65" s="159" t="s">
        <v>191</v>
      </c>
      <c r="G65" s="247" t="s">
        <v>192</v>
      </c>
      <c r="H65" s="248" t="s">
        <v>191</v>
      </c>
      <c r="I65" s="160" t="s">
        <v>192</v>
      </c>
    </row>
    <row r="66" spans="1:13" s="5" customFormat="1" ht="36" x14ac:dyDescent="0.2">
      <c r="A66" s="237" t="s">
        <v>196</v>
      </c>
      <c r="B66" s="238" t="s">
        <v>265</v>
      </c>
      <c r="C66" s="164" t="s">
        <v>266</v>
      </c>
      <c r="D66" s="165" t="s">
        <v>109</v>
      </c>
      <c r="E66" s="239" t="s">
        <v>216</v>
      </c>
      <c r="F66" s="167">
        <v>8.51</v>
      </c>
      <c r="G66" s="240">
        <f>TRUNC($E66*F66,2)</f>
        <v>17.02</v>
      </c>
      <c r="H66" s="241">
        <v>9.19</v>
      </c>
      <c r="I66" s="170">
        <f>TRUNC($E66*H66,2)</f>
        <v>18.38</v>
      </c>
      <c r="L66" s="154"/>
      <c r="M66" s="154"/>
    </row>
    <row r="67" spans="1:13" s="5" customFormat="1" ht="36" x14ac:dyDescent="0.2">
      <c r="A67" s="237" t="s">
        <v>196</v>
      </c>
      <c r="B67" s="238" t="s">
        <v>225</v>
      </c>
      <c r="C67" s="164" t="s">
        <v>226</v>
      </c>
      <c r="D67" s="165" t="s">
        <v>109</v>
      </c>
      <c r="E67" s="239">
        <v>4</v>
      </c>
      <c r="F67" s="167">
        <v>3.71</v>
      </c>
      <c r="G67" s="240">
        <f>TRUNC($E67*F67,2)</f>
        <v>14.84</v>
      </c>
      <c r="H67" s="241">
        <v>3.85</v>
      </c>
      <c r="I67" s="170">
        <f>TRUNC($E67*H67,2)</f>
        <v>15.4</v>
      </c>
      <c r="L67" s="154"/>
      <c r="M67" s="154"/>
    </row>
    <row r="68" spans="1:13" s="5" customFormat="1" ht="24" x14ac:dyDescent="0.2">
      <c r="A68" s="237" t="s">
        <v>196</v>
      </c>
      <c r="B68" s="238" t="s">
        <v>217</v>
      </c>
      <c r="C68" s="164" t="s">
        <v>203</v>
      </c>
      <c r="D68" s="165" t="s">
        <v>115</v>
      </c>
      <c r="E68" s="239">
        <v>1</v>
      </c>
      <c r="F68" s="167">
        <v>15.48</v>
      </c>
      <c r="G68" s="240">
        <f>TRUNC($E68*F68,2)</f>
        <v>15.48</v>
      </c>
      <c r="H68" s="241">
        <v>16.63</v>
      </c>
      <c r="I68" s="170">
        <f>TRUNC($E68*H68,2)</f>
        <v>16.63</v>
      </c>
      <c r="L68" s="154"/>
      <c r="M68" s="154"/>
    </row>
    <row r="69" spans="1:13" s="5" customFormat="1" ht="14.45" customHeight="1" x14ac:dyDescent="0.2">
      <c r="A69" s="173"/>
      <c r="B69" s="173"/>
      <c r="C69" s="173"/>
      <c r="D69" s="173"/>
      <c r="E69" s="173"/>
      <c r="F69" s="174" t="s">
        <v>201</v>
      </c>
      <c r="G69" s="174">
        <f>TRUNC(SUM(G66:G68),2)</f>
        <v>47.34</v>
      </c>
      <c r="H69" s="174" t="s">
        <v>201</v>
      </c>
      <c r="I69" s="174">
        <f>TRUNC(SUM(I66:I68),2)</f>
        <v>50.41</v>
      </c>
      <c r="J69" s="175"/>
      <c r="L69" s="154"/>
      <c r="M69" s="154"/>
    </row>
    <row r="70" spans="1:13" s="5" customFormat="1" x14ac:dyDescent="0.2">
      <c r="A70" s="244"/>
      <c r="B70" s="236"/>
      <c r="C70" s="236"/>
      <c r="D70" s="236"/>
      <c r="E70" s="236"/>
      <c r="F70" s="236"/>
      <c r="G70" s="236"/>
      <c r="H70" s="236"/>
      <c r="I70" s="245"/>
    </row>
    <row r="71" spans="1:13" s="5" customFormat="1" x14ac:dyDescent="0.2">
      <c r="A71" s="402" t="s">
        <v>267</v>
      </c>
      <c r="B71" s="403"/>
      <c r="C71" s="403"/>
      <c r="D71" s="403"/>
      <c r="E71" s="403"/>
      <c r="F71" s="403"/>
      <c r="G71" s="403"/>
      <c r="H71" s="403"/>
      <c r="I71" s="404"/>
    </row>
    <row r="72" spans="1:13" s="5" customFormat="1" ht="23.25" customHeight="1" x14ac:dyDescent="0.2">
      <c r="A72" s="405"/>
      <c r="B72" s="406"/>
      <c r="C72" s="406"/>
      <c r="D72" s="406"/>
      <c r="E72" s="406"/>
      <c r="F72" s="406"/>
      <c r="G72" s="406"/>
      <c r="H72" s="406"/>
      <c r="I72" s="407"/>
    </row>
    <row r="73" spans="1:13" s="5" customFormat="1" ht="10.15" customHeight="1" x14ac:dyDescent="0.2">
      <c r="A73" s="408" t="s">
        <v>221</v>
      </c>
      <c r="B73" s="408"/>
      <c r="C73" s="151" t="s">
        <v>181</v>
      </c>
      <c r="D73" s="414" t="s">
        <v>263</v>
      </c>
      <c r="E73" s="414"/>
      <c r="F73" s="414"/>
      <c r="G73" s="414"/>
      <c r="H73" s="414"/>
      <c r="I73" s="414"/>
    </row>
    <row r="74" spans="1:13" s="5" customFormat="1" ht="11.25" customHeight="1" x14ac:dyDescent="0.2">
      <c r="A74" s="409"/>
      <c r="B74" s="409"/>
      <c r="C74" s="416" t="s">
        <v>182</v>
      </c>
      <c r="D74" s="417" t="s">
        <v>262</v>
      </c>
      <c r="E74" s="417"/>
      <c r="F74" s="417"/>
      <c r="G74" s="417"/>
      <c r="H74" s="417"/>
      <c r="I74" s="417"/>
    </row>
    <row r="75" spans="1:13" s="5" customFormat="1" ht="36" customHeight="1" x14ac:dyDescent="0.2">
      <c r="A75" s="409"/>
      <c r="B75" s="409"/>
      <c r="C75" s="416"/>
      <c r="D75" s="417"/>
      <c r="E75" s="418"/>
      <c r="F75" s="418"/>
      <c r="G75" s="418"/>
      <c r="H75" s="418"/>
      <c r="I75" s="418"/>
      <c r="L75" s="246" t="s">
        <v>220</v>
      </c>
    </row>
    <row r="76" spans="1:13" s="5" customFormat="1" ht="10.15" customHeight="1" x14ac:dyDescent="0.2">
      <c r="A76" s="409"/>
      <c r="B76" s="409"/>
      <c r="C76" s="152" t="s">
        <v>183</v>
      </c>
      <c r="D76" s="153" t="s">
        <v>115</v>
      </c>
      <c r="E76" s="424" t="s">
        <v>184</v>
      </c>
      <c r="F76" s="420">
        <f>G87</f>
        <v>124.9</v>
      </c>
      <c r="G76" s="420"/>
      <c r="H76" s="421">
        <f>I87</f>
        <v>135.63999999999999</v>
      </c>
      <c r="I76" s="421"/>
    </row>
    <row r="77" spans="1:13" s="5" customFormat="1" ht="14.45" customHeight="1" x14ac:dyDescent="0.2">
      <c r="A77" s="409"/>
      <c r="B77" s="409"/>
      <c r="C77" s="152" t="s">
        <v>185</v>
      </c>
      <c r="D77" s="153">
        <v>1</v>
      </c>
      <c r="E77" s="425"/>
      <c r="F77" s="420"/>
      <c r="G77" s="420"/>
      <c r="H77" s="421"/>
      <c r="I77" s="421"/>
      <c r="K77" s="154"/>
      <c r="L77" s="154"/>
      <c r="M77" s="154"/>
    </row>
    <row r="78" spans="1:13" s="5" customFormat="1" x14ac:dyDescent="0.2">
      <c r="A78" s="2"/>
      <c r="B78" s="2"/>
      <c r="C78" s="3"/>
      <c r="D78" s="4"/>
      <c r="E78" s="92"/>
      <c r="F78" s="422" t="s">
        <v>186</v>
      </c>
      <c r="G78" s="422"/>
      <c r="H78" s="423" t="s">
        <v>187</v>
      </c>
      <c r="I78" s="423"/>
    </row>
    <row r="79" spans="1:13" s="162" customFormat="1" ht="24" x14ac:dyDescent="0.25">
      <c r="A79" s="155" t="s">
        <v>188</v>
      </c>
      <c r="B79" s="155" t="s">
        <v>189</v>
      </c>
      <c r="C79" s="156" t="s">
        <v>108</v>
      </c>
      <c r="D79" s="157" t="s">
        <v>183</v>
      </c>
      <c r="E79" s="158" t="s">
        <v>190</v>
      </c>
      <c r="F79" s="159" t="s">
        <v>191</v>
      </c>
      <c r="G79" s="247" t="s">
        <v>192</v>
      </c>
      <c r="H79" s="248" t="s">
        <v>191</v>
      </c>
      <c r="I79" s="160" t="s">
        <v>192</v>
      </c>
    </row>
    <row r="80" spans="1:13" s="5" customFormat="1" ht="24" x14ac:dyDescent="0.2">
      <c r="A80" s="237" t="s">
        <v>196</v>
      </c>
      <c r="B80" s="238" t="s">
        <v>210</v>
      </c>
      <c r="C80" s="164" t="s">
        <v>211</v>
      </c>
      <c r="D80" s="165" t="s">
        <v>109</v>
      </c>
      <c r="E80" s="239">
        <v>2.2000000000000002</v>
      </c>
      <c r="F80" s="167">
        <v>6.65</v>
      </c>
      <c r="G80" s="240">
        <f t="shared" ref="G80:G85" si="2">TRUNC($E80*F80,2)</f>
        <v>14.63</v>
      </c>
      <c r="H80" s="192">
        <v>7.48</v>
      </c>
      <c r="I80" s="170">
        <f t="shared" ref="I80:I85" si="3">TRUNC($E80*H80,2)</f>
        <v>16.45</v>
      </c>
      <c r="L80" s="154"/>
      <c r="M80" s="154"/>
    </row>
    <row r="81" spans="1:13" s="5" customFormat="1" ht="24" x14ac:dyDescent="0.2">
      <c r="A81" s="237" t="s">
        <v>196</v>
      </c>
      <c r="B81" s="238" t="s">
        <v>212</v>
      </c>
      <c r="C81" s="164" t="s">
        <v>213</v>
      </c>
      <c r="D81" s="165" t="s">
        <v>115</v>
      </c>
      <c r="E81" s="239">
        <v>1</v>
      </c>
      <c r="F81" s="167">
        <v>4.4000000000000004</v>
      </c>
      <c r="G81" s="240">
        <f t="shared" si="2"/>
        <v>4.4000000000000004</v>
      </c>
      <c r="H81" s="241">
        <v>4.95</v>
      </c>
      <c r="I81" s="170">
        <f t="shared" si="3"/>
        <v>4.95</v>
      </c>
      <c r="L81" s="154"/>
      <c r="M81" s="154"/>
    </row>
    <row r="82" spans="1:13" s="5" customFormat="1" ht="36" x14ac:dyDescent="0.2">
      <c r="A82" s="237" t="s">
        <v>196</v>
      </c>
      <c r="B82" s="238" t="s">
        <v>214</v>
      </c>
      <c r="C82" s="164" t="s">
        <v>215</v>
      </c>
      <c r="D82" s="165" t="s">
        <v>109</v>
      </c>
      <c r="E82" s="239">
        <v>2.2000000000000002</v>
      </c>
      <c r="F82" s="167">
        <v>12.72</v>
      </c>
      <c r="G82" s="240">
        <f t="shared" si="2"/>
        <v>27.98</v>
      </c>
      <c r="H82" s="241">
        <v>14.02</v>
      </c>
      <c r="I82" s="170">
        <f t="shared" si="3"/>
        <v>30.84</v>
      </c>
      <c r="L82" s="154"/>
      <c r="M82" s="154"/>
    </row>
    <row r="83" spans="1:13" s="5" customFormat="1" ht="36" x14ac:dyDescent="0.2">
      <c r="A83" s="237" t="s">
        <v>196</v>
      </c>
      <c r="B83" s="238" t="s">
        <v>265</v>
      </c>
      <c r="C83" s="164" t="s">
        <v>266</v>
      </c>
      <c r="D83" s="165" t="s">
        <v>109</v>
      </c>
      <c r="E83" s="239">
        <v>2.2000000000000002</v>
      </c>
      <c r="F83" s="167">
        <v>8.51</v>
      </c>
      <c r="G83" s="240">
        <f t="shared" si="2"/>
        <v>18.72</v>
      </c>
      <c r="H83" s="241">
        <v>9.19</v>
      </c>
      <c r="I83" s="170">
        <f t="shared" si="3"/>
        <v>20.21</v>
      </c>
      <c r="L83" s="154"/>
      <c r="M83" s="154"/>
    </row>
    <row r="84" spans="1:13" s="5" customFormat="1" ht="36" x14ac:dyDescent="0.2">
      <c r="A84" s="237" t="s">
        <v>196</v>
      </c>
      <c r="B84" s="238" t="s">
        <v>225</v>
      </c>
      <c r="C84" s="164" t="s">
        <v>226</v>
      </c>
      <c r="D84" s="165" t="s">
        <v>109</v>
      </c>
      <c r="E84" s="239">
        <v>4.4000000000000004</v>
      </c>
      <c r="F84" s="167">
        <v>3.71</v>
      </c>
      <c r="G84" s="240">
        <f t="shared" si="2"/>
        <v>16.32</v>
      </c>
      <c r="H84" s="241">
        <v>3.85</v>
      </c>
      <c r="I84" s="170">
        <f t="shared" si="3"/>
        <v>16.940000000000001</v>
      </c>
      <c r="L84" s="154"/>
      <c r="M84" s="154"/>
    </row>
    <row r="85" spans="1:13" s="5" customFormat="1" ht="24" x14ac:dyDescent="0.2">
      <c r="A85" s="237" t="s">
        <v>196</v>
      </c>
      <c r="B85" s="238" t="s">
        <v>218</v>
      </c>
      <c r="C85" s="164" t="s">
        <v>219</v>
      </c>
      <c r="D85" s="165" t="s">
        <v>115</v>
      </c>
      <c r="E85" s="239">
        <v>1</v>
      </c>
      <c r="F85" s="167">
        <v>16.260000000000002</v>
      </c>
      <c r="G85" s="240">
        <f t="shared" si="2"/>
        <v>16.260000000000002</v>
      </c>
      <c r="H85" s="241">
        <v>17.79</v>
      </c>
      <c r="I85" s="170">
        <f t="shared" si="3"/>
        <v>17.79</v>
      </c>
      <c r="L85" s="154"/>
      <c r="M85" s="154"/>
    </row>
    <row r="86" spans="1:13" s="5" customFormat="1" ht="24" x14ac:dyDescent="0.2">
      <c r="A86" s="237" t="s">
        <v>196</v>
      </c>
      <c r="B86" s="238" t="s">
        <v>162</v>
      </c>
      <c r="C86" s="164" t="s">
        <v>163</v>
      </c>
      <c r="D86" s="165" t="s">
        <v>115</v>
      </c>
      <c r="E86" s="239">
        <v>1</v>
      </c>
      <c r="F86" s="167">
        <v>26.59</v>
      </c>
      <c r="G86" s="240">
        <f>TRUNC($E86*F86,2)</f>
        <v>26.59</v>
      </c>
      <c r="H86" s="241">
        <v>28.46</v>
      </c>
      <c r="I86" s="170">
        <f>TRUNC($E86*H86,2)</f>
        <v>28.46</v>
      </c>
      <c r="L86" s="154"/>
      <c r="M86" s="154"/>
    </row>
    <row r="87" spans="1:13" s="5" customFormat="1" ht="14.45" customHeight="1" x14ac:dyDescent="0.2">
      <c r="A87" s="173"/>
      <c r="B87" s="173"/>
      <c r="C87" s="173"/>
      <c r="D87" s="173"/>
      <c r="E87" s="173"/>
      <c r="F87" s="174" t="s">
        <v>201</v>
      </c>
      <c r="G87" s="174">
        <f>TRUNC(SUM(G80:G86),2)</f>
        <v>124.9</v>
      </c>
      <c r="H87" s="174" t="s">
        <v>201</v>
      </c>
      <c r="I87" s="174">
        <f>TRUNC(SUM(I80:I86),2)</f>
        <v>135.63999999999999</v>
      </c>
      <c r="J87" s="175"/>
      <c r="L87" s="154"/>
      <c r="M87" s="154"/>
    </row>
    <row r="88" spans="1:13" s="5" customFormat="1" x14ac:dyDescent="0.2">
      <c r="A88" s="244"/>
      <c r="B88" s="236"/>
      <c r="C88" s="236"/>
      <c r="D88" s="236"/>
      <c r="E88" s="236"/>
      <c r="F88" s="236"/>
      <c r="G88" s="236"/>
      <c r="H88" s="236"/>
      <c r="I88" s="245"/>
    </row>
    <row r="89" spans="1:13" x14ac:dyDescent="0.2">
      <c r="A89" s="402" t="s">
        <v>341</v>
      </c>
      <c r="B89" s="403"/>
      <c r="C89" s="403"/>
      <c r="D89" s="403"/>
      <c r="E89" s="403"/>
      <c r="F89" s="403"/>
      <c r="G89" s="403"/>
      <c r="H89" s="403"/>
      <c r="I89" s="404"/>
    </row>
    <row r="90" spans="1:13" x14ac:dyDescent="0.2">
      <c r="A90" s="405"/>
      <c r="B90" s="406"/>
      <c r="C90" s="406"/>
      <c r="D90" s="406"/>
      <c r="E90" s="406"/>
      <c r="F90" s="406"/>
      <c r="G90" s="406"/>
      <c r="H90" s="406"/>
      <c r="I90" s="407"/>
    </row>
    <row r="91" spans="1:13" x14ac:dyDescent="0.2">
      <c r="A91" s="410" t="s">
        <v>222</v>
      </c>
      <c r="B91" s="411"/>
      <c r="C91" s="151" t="s">
        <v>268</v>
      </c>
      <c r="D91" s="414" t="s">
        <v>642</v>
      </c>
      <c r="E91" s="414"/>
      <c r="F91" s="414"/>
      <c r="G91" s="414"/>
      <c r="H91" s="414"/>
      <c r="I91" s="415"/>
    </row>
    <row r="92" spans="1:13" x14ac:dyDescent="0.2">
      <c r="A92" s="412"/>
      <c r="B92" s="413"/>
      <c r="C92" s="416" t="s">
        <v>182</v>
      </c>
      <c r="D92" s="417" t="s">
        <v>341</v>
      </c>
      <c r="E92" s="417"/>
      <c r="F92" s="417"/>
      <c r="G92" s="417"/>
      <c r="H92" s="417"/>
      <c r="I92" s="417"/>
    </row>
    <row r="93" spans="1:13" x14ac:dyDescent="0.2">
      <c r="A93" s="412"/>
      <c r="B93" s="413"/>
      <c r="C93" s="416"/>
      <c r="D93" s="417"/>
      <c r="E93" s="418"/>
      <c r="F93" s="418"/>
      <c r="G93" s="418"/>
      <c r="H93" s="418"/>
      <c r="I93" s="418"/>
      <c r="M93" s="5"/>
    </row>
    <row r="94" spans="1:13" x14ac:dyDescent="0.2">
      <c r="A94" s="412"/>
      <c r="B94" s="413"/>
      <c r="C94" s="152" t="s">
        <v>269</v>
      </c>
      <c r="D94" s="153" t="s">
        <v>115</v>
      </c>
      <c r="E94" s="419" t="s">
        <v>270</v>
      </c>
      <c r="F94" s="420">
        <f>G106</f>
        <v>126.16</v>
      </c>
      <c r="G94" s="420"/>
      <c r="H94" s="421">
        <f>I106</f>
        <v>134.71</v>
      </c>
      <c r="I94" s="421"/>
    </row>
    <row r="95" spans="1:13" x14ac:dyDescent="0.2">
      <c r="A95" s="412"/>
      <c r="B95" s="413"/>
      <c r="C95" s="152" t="s">
        <v>271</v>
      </c>
      <c r="D95" s="153">
        <v>1</v>
      </c>
      <c r="E95" s="419"/>
      <c r="F95" s="420"/>
      <c r="G95" s="420"/>
      <c r="H95" s="421"/>
      <c r="I95" s="421"/>
    </row>
    <row r="96" spans="1:13" x14ac:dyDescent="0.2">
      <c r="A96" s="184"/>
      <c r="B96" s="180"/>
      <c r="C96" s="181"/>
      <c r="D96" s="4"/>
      <c r="E96" s="185"/>
      <c r="F96" s="422" t="s">
        <v>186</v>
      </c>
      <c r="G96" s="422"/>
      <c r="H96" s="423" t="s">
        <v>187</v>
      </c>
      <c r="I96" s="423"/>
    </row>
    <row r="97" spans="1:9" ht="24" x14ac:dyDescent="0.2">
      <c r="A97" s="197" t="s">
        <v>188</v>
      </c>
      <c r="B97" s="155" t="s">
        <v>189</v>
      </c>
      <c r="C97" s="156" t="s">
        <v>108</v>
      </c>
      <c r="D97" s="157" t="s">
        <v>183</v>
      </c>
      <c r="E97" s="158" t="s">
        <v>190</v>
      </c>
      <c r="F97" s="186" t="s">
        <v>191</v>
      </c>
      <c r="G97" s="187" t="s">
        <v>192</v>
      </c>
      <c r="H97" s="188" t="s">
        <v>191</v>
      </c>
      <c r="I97" s="189" t="s">
        <v>192</v>
      </c>
    </row>
    <row r="98" spans="1:9" ht="36" x14ac:dyDescent="0.2">
      <c r="A98" s="198" t="s">
        <v>196</v>
      </c>
      <c r="B98" s="171" t="s">
        <v>225</v>
      </c>
      <c r="C98" s="164" t="s">
        <v>643</v>
      </c>
      <c r="D98" s="165" t="s">
        <v>109</v>
      </c>
      <c r="E98" s="166">
        <v>10.531000000000001</v>
      </c>
      <c r="F98" s="190">
        <v>3.71</v>
      </c>
      <c r="G98" s="191">
        <f t="shared" ref="G98:G103" si="4">TRUNC($E98*F98,2)</f>
        <v>39.07</v>
      </c>
      <c r="H98" s="192">
        <v>3.85</v>
      </c>
      <c r="I98" s="170">
        <f t="shared" ref="I98:I103" si="5">TRUNC($E98*H98,2)</f>
        <v>40.54</v>
      </c>
    </row>
    <row r="99" spans="1:9" ht="24" x14ac:dyDescent="0.2">
      <c r="A99" s="198" t="s">
        <v>196</v>
      </c>
      <c r="B99" s="171" t="s">
        <v>218</v>
      </c>
      <c r="C99" s="164" t="s">
        <v>644</v>
      </c>
      <c r="D99" s="165" t="s">
        <v>115</v>
      </c>
      <c r="E99" s="166">
        <v>1</v>
      </c>
      <c r="F99" s="190">
        <v>16.260000000000002</v>
      </c>
      <c r="G99" s="170">
        <f t="shared" si="4"/>
        <v>16.260000000000002</v>
      </c>
      <c r="H99" s="192">
        <v>17.79</v>
      </c>
      <c r="I99" s="170">
        <f t="shared" si="5"/>
        <v>17.79</v>
      </c>
    </row>
    <row r="100" spans="1:9" ht="36" x14ac:dyDescent="0.2">
      <c r="A100" s="198" t="s">
        <v>196</v>
      </c>
      <c r="B100" s="171" t="s">
        <v>214</v>
      </c>
      <c r="C100" s="164" t="s">
        <v>645</v>
      </c>
      <c r="D100" s="165" t="s">
        <v>109</v>
      </c>
      <c r="E100" s="166">
        <v>0.88500000000000001</v>
      </c>
      <c r="F100" s="190">
        <v>12.72</v>
      </c>
      <c r="G100" s="170">
        <f t="shared" si="4"/>
        <v>11.25</v>
      </c>
      <c r="H100" s="192">
        <v>14.02</v>
      </c>
      <c r="I100" s="170">
        <f t="shared" si="5"/>
        <v>12.4</v>
      </c>
    </row>
    <row r="101" spans="1:9" ht="36" x14ac:dyDescent="0.2">
      <c r="A101" s="198" t="s">
        <v>196</v>
      </c>
      <c r="B101" s="171" t="s">
        <v>646</v>
      </c>
      <c r="C101" s="164" t="s">
        <v>647</v>
      </c>
      <c r="D101" s="165" t="s">
        <v>109</v>
      </c>
      <c r="E101" s="166">
        <v>1.6140000000000001</v>
      </c>
      <c r="F101" s="190">
        <v>7.73</v>
      </c>
      <c r="G101" s="170">
        <f t="shared" si="4"/>
        <v>12.47</v>
      </c>
      <c r="H101" s="192">
        <v>8.1</v>
      </c>
      <c r="I101" s="170">
        <f t="shared" si="5"/>
        <v>13.07</v>
      </c>
    </row>
    <row r="102" spans="1:9" ht="36" x14ac:dyDescent="0.2">
      <c r="A102" s="198" t="s">
        <v>196</v>
      </c>
      <c r="B102" s="171" t="s">
        <v>648</v>
      </c>
      <c r="C102" s="164" t="s">
        <v>649</v>
      </c>
      <c r="D102" s="165" t="s">
        <v>109</v>
      </c>
      <c r="E102" s="166">
        <v>0.88500000000000001</v>
      </c>
      <c r="F102" s="190">
        <v>10.02</v>
      </c>
      <c r="G102" s="170">
        <f t="shared" si="4"/>
        <v>8.86</v>
      </c>
      <c r="H102" s="192">
        <v>10.7</v>
      </c>
      <c r="I102" s="170">
        <f t="shared" si="5"/>
        <v>9.4600000000000009</v>
      </c>
    </row>
    <row r="103" spans="1:9" ht="24" x14ac:dyDescent="0.2">
      <c r="A103" s="198" t="s">
        <v>196</v>
      </c>
      <c r="B103" s="171" t="s">
        <v>212</v>
      </c>
      <c r="C103" s="164" t="s">
        <v>650</v>
      </c>
      <c r="D103" s="165" t="s">
        <v>115</v>
      </c>
      <c r="E103" s="166">
        <v>1</v>
      </c>
      <c r="F103" s="190">
        <v>4.4000000000000004</v>
      </c>
      <c r="G103" s="170">
        <f t="shared" si="4"/>
        <v>4.4000000000000004</v>
      </c>
      <c r="H103" s="192">
        <v>4.95</v>
      </c>
      <c r="I103" s="170">
        <f t="shared" si="5"/>
        <v>4.95</v>
      </c>
    </row>
    <row r="104" spans="1:9" ht="24" x14ac:dyDescent="0.2">
      <c r="A104" s="198" t="s">
        <v>196</v>
      </c>
      <c r="B104" s="171" t="s">
        <v>210</v>
      </c>
      <c r="C104" s="164" t="s">
        <v>651</v>
      </c>
      <c r="D104" s="165" t="s">
        <v>109</v>
      </c>
      <c r="E104" s="166">
        <v>0.88500000000000001</v>
      </c>
      <c r="F104" s="190">
        <v>6.65</v>
      </c>
      <c r="G104" s="170">
        <f>TRUNC($E104*F104,2)</f>
        <v>5.88</v>
      </c>
      <c r="H104" s="192">
        <v>7.48</v>
      </c>
      <c r="I104" s="170">
        <f>TRUNC($E104*H104,2)</f>
        <v>6.61</v>
      </c>
    </row>
    <row r="105" spans="1:9" ht="24" x14ac:dyDescent="0.2">
      <c r="A105" s="198" t="s">
        <v>196</v>
      </c>
      <c r="B105" s="171" t="s">
        <v>652</v>
      </c>
      <c r="C105" s="164" t="s">
        <v>653</v>
      </c>
      <c r="D105" s="165" t="s">
        <v>115</v>
      </c>
      <c r="E105" s="166">
        <v>1</v>
      </c>
      <c r="F105" s="190">
        <v>27.97</v>
      </c>
      <c r="G105" s="170">
        <f>TRUNC($E105*F105,2)</f>
        <v>27.97</v>
      </c>
      <c r="H105" s="192">
        <v>29.89</v>
      </c>
      <c r="I105" s="170">
        <f>TRUNC($E105*H105,2)</f>
        <v>29.89</v>
      </c>
    </row>
    <row r="106" spans="1:9" x14ac:dyDescent="0.2">
      <c r="A106" s="199"/>
      <c r="B106" s="193"/>
      <c r="C106" s="193"/>
      <c r="D106" s="193"/>
      <c r="E106" s="194"/>
      <c r="F106" s="178" t="s">
        <v>201</v>
      </c>
      <c r="G106" s="195">
        <f>TRUNC(SUM(G98:G105),2)</f>
        <v>126.16</v>
      </c>
      <c r="H106" s="179" t="s">
        <v>201</v>
      </c>
      <c r="I106" s="196">
        <f>TRUNC(SUM(I98:I105),2)</f>
        <v>134.71</v>
      </c>
    </row>
    <row r="108" spans="1:9" x14ac:dyDescent="0.2">
      <c r="A108" s="402" t="s">
        <v>342</v>
      </c>
      <c r="B108" s="403"/>
      <c r="C108" s="403"/>
      <c r="D108" s="403"/>
      <c r="E108" s="403"/>
      <c r="F108" s="403"/>
      <c r="G108" s="403"/>
      <c r="H108" s="403"/>
      <c r="I108" s="404"/>
    </row>
    <row r="109" spans="1:9" x14ac:dyDescent="0.2">
      <c r="A109" s="405"/>
      <c r="B109" s="406"/>
      <c r="C109" s="406"/>
      <c r="D109" s="406"/>
      <c r="E109" s="406"/>
      <c r="F109" s="406"/>
      <c r="G109" s="406"/>
      <c r="H109" s="406"/>
      <c r="I109" s="407"/>
    </row>
    <row r="110" spans="1:9" x14ac:dyDescent="0.2">
      <c r="A110" s="410" t="s">
        <v>223</v>
      </c>
      <c r="B110" s="411"/>
      <c r="C110" s="151" t="s">
        <v>268</v>
      </c>
      <c r="D110" s="414" t="s">
        <v>656</v>
      </c>
      <c r="E110" s="414"/>
      <c r="F110" s="414"/>
      <c r="G110" s="414"/>
      <c r="H110" s="414"/>
      <c r="I110" s="415"/>
    </row>
    <row r="111" spans="1:9" x14ac:dyDescent="0.2">
      <c r="A111" s="412"/>
      <c r="B111" s="413"/>
      <c r="C111" s="416" t="s">
        <v>182</v>
      </c>
      <c r="D111" s="417" t="s">
        <v>342</v>
      </c>
      <c r="E111" s="417"/>
      <c r="F111" s="417"/>
      <c r="G111" s="417"/>
      <c r="H111" s="417"/>
      <c r="I111" s="417"/>
    </row>
    <row r="112" spans="1:9" x14ac:dyDescent="0.2">
      <c r="A112" s="412"/>
      <c r="B112" s="413"/>
      <c r="C112" s="416"/>
      <c r="D112" s="417"/>
      <c r="E112" s="418"/>
      <c r="F112" s="418"/>
      <c r="G112" s="418"/>
      <c r="H112" s="418"/>
      <c r="I112" s="418"/>
    </row>
    <row r="113" spans="1:9" x14ac:dyDescent="0.2">
      <c r="A113" s="412"/>
      <c r="B113" s="413"/>
      <c r="C113" s="152" t="s">
        <v>269</v>
      </c>
      <c r="D113" s="153" t="s">
        <v>115</v>
      </c>
      <c r="E113" s="419" t="s">
        <v>270</v>
      </c>
      <c r="F113" s="420">
        <f>G125</f>
        <v>160.99</v>
      </c>
      <c r="G113" s="420"/>
      <c r="H113" s="421">
        <f>I125</f>
        <v>172.81</v>
      </c>
      <c r="I113" s="421"/>
    </row>
    <row r="114" spans="1:9" x14ac:dyDescent="0.2">
      <c r="A114" s="412"/>
      <c r="B114" s="413"/>
      <c r="C114" s="152" t="s">
        <v>271</v>
      </c>
      <c r="D114" s="153">
        <v>1</v>
      </c>
      <c r="E114" s="419"/>
      <c r="F114" s="420"/>
      <c r="G114" s="420"/>
      <c r="H114" s="421"/>
      <c r="I114" s="421"/>
    </row>
    <row r="115" spans="1:9" x14ac:dyDescent="0.2">
      <c r="A115" s="200"/>
      <c r="B115" s="2"/>
      <c r="C115" s="3"/>
      <c r="D115" s="4"/>
      <c r="E115" s="185"/>
      <c r="F115" s="422" t="s">
        <v>186</v>
      </c>
      <c r="G115" s="422"/>
      <c r="H115" s="423" t="s">
        <v>187</v>
      </c>
      <c r="I115" s="423"/>
    </row>
    <row r="116" spans="1:9" ht="24" x14ac:dyDescent="0.2">
      <c r="A116" s="197" t="s">
        <v>188</v>
      </c>
      <c r="B116" s="155" t="s">
        <v>189</v>
      </c>
      <c r="C116" s="156" t="s">
        <v>108</v>
      </c>
      <c r="D116" s="157" t="s">
        <v>183</v>
      </c>
      <c r="E116" s="158" t="s">
        <v>190</v>
      </c>
      <c r="F116" s="186" t="s">
        <v>191</v>
      </c>
      <c r="G116" s="187" t="s">
        <v>192</v>
      </c>
      <c r="H116" s="188" t="s">
        <v>191</v>
      </c>
      <c r="I116" s="189" t="s">
        <v>192</v>
      </c>
    </row>
    <row r="117" spans="1:9" s="5" customFormat="1" ht="36" x14ac:dyDescent="0.2">
      <c r="A117" s="198" t="s">
        <v>196</v>
      </c>
      <c r="B117" s="171" t="s">
        <v>225</v>
      </c>
      <c r="C117" s="164" t="s">
        <v>643</v>
      </c>
      <c r="D117" s="165" t="s">
        <v>109</v>
      </c>
      <c r="E117" s="166">
        <v>10.6357</v>
      </c>
      <c r="F117" s="190">
        <v>3.71</v>
      </c>
      <c r="G117" s="191">
        <f t="shared" ref="G117:G124" si="6">TRUNC($E117*F117,2)</f>
        <v>39.450000000000003</v>
      </c>
      <c r="H117" s="192">
        <v>3.85</v>
      </c>
      <c r="I117" s="170">
        <f t="shared" ref="I117:I124" si="7">TRUNC($E117*H117,2)</f>
        <v>40.94</v>
      </c>
    </row>
    <row r="118" spans="1:9" s="5" customFormat="1" ht="24" x14ac:dyDescent="0.2">
      <c r="A118" s="198" t="s">
        <v>196</v>
      </c>
      <c r="B118" s="171" t="s">
        <v>218</v>
      </c>
      <c r="C118" s="164" t="s">
        <v>644</v>
      </c>
      <c r="D118" s="165" t="s">
        <v>115</v>
      </c>
      <c r="E118" s="166">
        <v>1</v>
      </c>
      <c r="F118" s="190">
        <v>16.260000000000002</v>
      </c>
      <c r="G118" s="170">
        <f t="shared" si="6"/>
        <v>16.260000000000002</v>
      </c>
      <c r="H118" s="192">
        <v>17.79</v>
      </c>
      <c r="I118" s="170">
        <f t="shared" si="7"/>
        <v>17.79</v>
      </c>
    </row>
    <row r="119" spans="1:9" s="5" customFormat="1" ht="36" x14ac:dyDescent="0.2">
      <c r="A119" s="198" t="s">
        <v>196</v>
      </c>
      <c r="B119" s="171" t="s">
        <v>214</v>
      </c>
      <c r="C119" s="164" t="s">
        <v>645</v>
      </c>
      <c r="D119" s="165" t="s">
        <v>109</v>
      </c>
      <c r="E119" s="166">
        <v>1.9357</v>
      </c>
      <c r="F119" s="190">
        <v>12.72</v>
      </c>
      <c r="G119" s="170">
        <f t="shared" si="6"/>
        <v>24.62</v>
      </c>
      <c r="H119" s="192">
        <v>14.02</v>
      </c>
      <c r="I119" s="170">
        <f t="shared" si="7"/>
        <v>27.13</v>
      </c>
    </row>
    <row r="120" spans="1:9" s="5" customFormat="1" ht="36" x14ac:dyDescent="0.2">
      <c r="A120" s="198" t="s">
        <v>196</v>
      </c>
      <c r="B120" s="171" t="s">
        <v>646</v>
      </c>
      <c r="C120" s="164" t="s">
        <v>647</v>
      </c>
      <c r="D120" s="165" t="s">
        <v>109</v>
      </c>
      <c r="E120" s="166">
        <v>1.38</v>
      </c>
      <c r="F120" s="190">
        <v>7.73</v>
      </c>
      <c r="G120" s="170">
        <f t="shared" si="6"/>
        <v>10.66</v>
      </c>
      <c r="H120" s="192">
        <v>8.1</v>
      </c>
      <c r="I120" s="170">
        <f t="shared" si="7"/>
        <v>11.17</v>
      </c>
    </row>
    <row r="121" spans="1:9" s="5" customFormat="1" ht="36" x14ac:dyDescent="0.2">
      <c r="A121" s="198" t="s">
        <v>196</v>
      </c>
      <c r="B121" s="171" t="s">
        <v>648</v>
      </c>
      <c r="C121" s="164" t="s">
        <v>649</v>
      </c>
      <c r="D121" s="165" t="s">
        <v>109</v>
      </c>
      <c r="E121" s="166">
        <v>1.9357</v>
      </c>
      <c r="F121" s="190">
        <v>10.02</v>
      </c>
      <c r="G121" s="170">
        <f t="shared" si="6"/>
        <v>19.39</v>
      </c>
      <c r="H121" s="192">
        <v>10.7</v>
      </c>
      <c r="I121" s="170">
        <f t="shared" si="7"/>
        <v>20.71</v>
      </c>
    </row>
    <row r="122" spans="1:9" s="5" customFormat="1" ht="24" x14ac:dyDescent="0.2">
      <c r="A122" s="198" t="s">
        <v>196</v>
      </c>
      <c r="B122" s="171" t="s">
        <v>212</v>
      </c>
      <c r="C122" s="164" t="s">
        <v>650</v>
      </c>
      <c r="D122" s="165" t="s">
        <v>115</v>
      </c>
      <c r="E122" s="166">
        <v>1</v>
      </c>
      <c r="F122" s="190">
        <v>4.4000000000000004</v>
      </c>
      <c r="G122" s="170">
        <f t="shared" si="6"/>
        <v>4.4000000000000004</v>
      </c>
      <c r="H122" s="192">
        <v>4.95</v>
      </c>
      <c r="I122" s="170">
        <f t="shared" si="7"/>
        <v>4.95</v>
      </c>
    </row>
    <row r="123" spans="1:9" s="5" customFormat="1" ht="24" x14ac:dyDescent="0.2">
      <c r="A123" s="198" t="s">
        <v>196</v>
      </c>
      <c r="B123" s="171" t="s">
        <v>210</v>
      </c>
      <c r="C123" s="164" t="s">
        <v>651</v>
      </c>
      <c r="D123" s="165" t="s">
        <v>109</v>
      </c>
      <c r="E123" s="166">
        <v>1.9357</v>
      </c>
      <c r="F123" s="190">
        <v>6.65</v>
      </c>
      <c r="G123" s="170">
        <f t="shared" si="6"/>
        <v>12.87</v>
      </c>
      <c r="H123" s="192">
        <v>7.48</v>
      </c>
      <c r="I123" s="170">
        <f t="shared" si="7"/>
        <v>14.47</v>
      </c>
    </row>
    <row r="124" spans="1:9" s="5" customFormat="1" ht="24" x14ac:dyDescent="0.2">
      <c r="A124" s="198" t="s">
        <v>196</v>
      </c>
      <c r="B124" s="171" t="s">
        <v>657</v>
      </c>
      <c r="C124" s="164" t="s">
        <v>658</v>
      </c>
      <c r="D124" s="165" t="s">
        <v>115</v>
      </c>
      <c r="E124" s="166">
        <v>1</v>
      </c>
      <c r="F124" s="190">
        <v>33.340000000000003</v>
      </c>
      <c r="G124" s="170">
        <f t="shared" si="6"/>
        <v>33.340000000000003</v>
      </c>
      <c r="H124" s="192">
        <v>35.65</v>
      </c>
      <c r="I124" s="170">
        <f t="shared" si="7"/>
        <v>35.65</v>
      </c>
    </row>
    <row r="125" spans="1:9" s="5" customFormat="1" x14ac:dyDescent="0.2">
      <c r="A125" s="199"/>
      <c r="B125" s="193"/>
      <c r="C125" s="193"/>
      <c r="D125" s="193"/>
      <c r="E125" s="194"/>
      <c r="F125" s="178" t="s">
        <v>201</v>
      </c>
      <c r="G125" s="195">
        <f>TRUNC(SUM(G117:G124),2)</f>
        <v>160.99</v>
      </c>
      <c r="H125" s="179" t="s">
        <v>201</v>
      </c>
      <c r="I125" s="196">
        <f>TRUNC(SUM(I117:I124),2)</f>
        <v>172.81</v>
      </c>
    </row>
    <row r="127" spans="1:9" ht="12" customHeight="1" x14ac:dyDescent="0.2">
      <c r="A127" s="402" t="s">
        <v>659</v>
      </c>
      <c r="B127" s="403"/>
      <c r="C127" s="403"/>
      <c r="D127" s="403"/>
      <c r="E127" s="403"/>
      <c r="F127" s="403"/>
      <c r="G127" s="403"/>
      <c r="H127" s="403"/>
      <c r="I127" s="404"/>
    </row>
    <row r="128" spans="1:9" ht="16.5" customHeight="1" x14ac:dyDescent="0.2">
      <c r="A128" s="405"/>
      <c r="B128" s="406"/>
      <c r="C128" s="406"/>
      <c r="D128" s="406"/>
      <c r="E128" s="406"/>
      <c r="F128" s="406"/>
      <c r="G128" s="406"/>
      <c r="H128" s="406"/>
      <c r="I128" s="407"/>
    </row>
    <row r="129" spans="1:9" x14ac:dyDescent="0.2">
      <c r="A129" s="432" t="s">
        <v>227</v>
      </c>
      <c r="B129" s="433"/>
      <c r="C129" s="202" t="s">
        <v>268</v>
      </c>
      <c r="D129" s="437" t="s">
        <v>660</v>
      </c>
      <c r="E129" s="438"/>
      <c r="F129" s="438"/>
      <c r="G129" s="438"/>
      <c r="H129" s="438"/>
      <c r="I129" s="439"/>
    </row>
    <row r="130" spans="1:9" x14ac:dyDescent="0.2">
      <c r="A130" s="434"/>
      <c r="B130" s="433"/>
      <c r="C130" s="440" t="s">
        <v>182</v>
      </c>
      <c r="D130" s="443" t="s">
        <v>659</v>
      </c>
      <c r="E130" s="444"/>
      <c r="F130" s="444"/>
      <c r="G130" s="444"/>
      <c r="H130" s="444"/>
      <c r="I130" s="445"/>
    </row>
    <row r="131" spans="1:9" x14ac:dyDescent="0.2">
      <c r="A131" s="434"/>
      <c r="B131" s="433"/>
      <c r="C131" s="441"/>
      <c r="D131" s="446"/>
      <c r="E131" s="447"/>
      <c r="F131" s="447"/>
      <c r="G131" s="447"/>
      <c r="H131" s="447"/>
      <c r="I131" s="448"/>
    </row>
    <row r="132" spans="1:9" x14ac:dyDescent="0.2">
      <c r="A132" s="434"/>
      <c r="B132" s="433"/>
      <c r="C132" s="442"/>
      <c r="D132" s="446"/>
      <c r="E132" s="447"/>
      <c r="F132" s="447"/>
      <c r="G132" s="447"/>
      <c r="H132" s="447"/>
      <c r="I132" s="448"/>
    </row>
    <row r="133" spans="1:9" x14ac:dyDescent="0.2">
      <c r="A133" s="434"/>
      <c r="B133" s="433"/>
      <c r="C133" s="203" t="s">
        <v>269</v>
      </c>
      <c r="D133" s="204" t="s">
        <v>661</v>
      </c>
      <c r="E133" s="449" t="s">
        <v>270</v>
      </c>
      <c r="F133" s="397">
        <f>G162</f>
        <v>2811.61</v>
      </c>
      <c r="G133" s="398"/>
      <c r="H133" s="401">
        <f>I162</f>
        <v>2909.65</v>
      </c>
      <c r="I133" s="398"/>
    </row>
    <row r="134" spans="1:9" x14ac:dyDescent="0.2">
      <c r="A134" s="435"/>
      <c r="B134" s="436"/>
      <c r="C134" s="203" t="s">
        <v>271</v>
      </c>
      <c r="D134" s="204">
        <v>1</v>
      </c>
      <c r="E134" s="450"/>
      <c r="F134" s="399"/>
      <c r="G134" s="400"/>
      <c r="H134" s="399"/>
      <c r="I134" s="400"/>
    </row>
    <row r="135" spans="1:9" x14ac:dyDescent="0.2">
      <c r="A135" s="205"/>
      <c r="B135" s="206"/>
      <c r="C135" s="207"/>
      <c r="D135" s="208"/>
      <c r="E135" s="209"/>
      <c r="F135" s="429" t="s">
        <v>186</v>
      </c>
      <c r="G135" s="430"/>
      <c r="H135" s="431" t="s">
        <v>187</v>
      </c>
      <c r="I135" s="430"/>
    </row>
    <row r="136" spans="1:9" ht="24" x14ac:dyDescent="0.2">
      <c r="A136" s="210" t="s">
        <v>188</v>
      </c>
      <c r="B136" s="211" t="s">
        <v>189</v>
      </c>
      <c r="C136" s="212" t="s">
        <v>108</v>
      </c>
      <c r="D136" s="213" t="s">
        <v>183</v>
      </c>
      <c r="E136" s="214" t="s">
        <v>190</v>
      </c>
      <c r="F136" s="215" t="s">
        <v>191</v>
      </c>
      <c r="G136" s="216" t="s">
        <v>192</v>
      </c>
      <c r="H136" s="217" t="s">
        <v>191</v>
      </c>
      <c r="I136" s="218" t="s">
        <v>192</v>
      </c>
    </row>
    <row r="137" spans="1:9" ht="48" x14ac:dyDescent="0.2">
      <c r="A137" s="219" t="s">
        <v>196</v>
      </c>
      <c r="B137" s="220" t="s">
        <v>662</v>
      </c>
      <c r="C137" s="221" t="s">
        <v>663</v>
      </c>
      <c r="D137" s="222" t="s">
        <v>664</v>
      </c>
      <c r="E137" s="223" t="s">
        <v>665</v>
      </c>
      <c r="F137" s="224">
        <v>89.63</v>
      </c>
      <c r="G137" s="191">
        <f t="shared" ref="G137:G161" si="8">TRUNC($E137*F137,2)</f>
        <v>216.85</v>
      </c>
      <c r="H137" s="225">
        <v>93.77</v>
      </c>
      <c r="I137" s="170">
        <f t="shared" ref="I137:I161" si="9">TRUNC($E137*H137,2)</f>
        <v>226.86</v>
      </c>
    </row>
    <row r="138" spans="1:9" ht="36" x14ac:dyDescent="0.2">
      <c r="A138" s="219" t="s">
        <v>196</v>
      </c>
      <c r="B138" s="220" t="s">
        <v>666</v>
      </c>
      <c r="C138" s="221" t="s">
        <v>667</v>
      </c>
      <c r="D138" s="222" t="s">
        <v>664</v>
      </c>
      <c r="E138" s="223" t="s">
        <v>668</v>
      </c>
      <c r="F138" s="224">
        <v>155.75</v>
      </c>
      <c r="G138" s="191">
        <f t="shared" si="8"/>
        <v>302.68</v>
      </c>
      <c r="H138" s="225">
        <v>162.06</v>
      </c>
      <c r="I138" s="170">
        <f t="shared" si="9"/>
        <v>314.94</v>
      </c>
    </row>
    <row r="139" spans="1:9" ht="36" x14ac:dyDescent="0.2">
      <c r="A139" s="219" t="s">
        <v>196</v>
      </c>
      <c r="B139" s="220" t="s">
        <v>669</v>
      </c>
      <c r="C139" s="221" t="s">
        <v>670</v>
      </c>
      <c r="D139" s="222" t="s">
        <v>664</v>
      </c>
      <c r="E139" s="223" t="s">
        <v>671</v>
      </c>
      <c r="F139" s="224">
        <v>50.3</v>
      </c>
      <c r="G139" s="191">
        <f t="shared" si="8"/>
        <v>269.31</v>
      </c>
      <c r="H139" s="225">
        <v>52.39</v>
      </c>
      <c r="I139" s="170">
        <f t="shared" si="9"/>
        <v>280.5</v>
      </c>
    </row>
    <row r="140" spans="1:9" ht="36" x14ac:dyDescent="0.2">
      <c r="A140" s="219" t="s">
        <v>196</v>
      </c>
      <c r="B140" s="220" t="s">
        <v>672</v>
      </c>
      <c r="C140" s="221" t="s">
        <v>374</v>
      </c>
      <c r="D140" s="222" t="s">
        <v>368</v>
      </c>
      <c r="E140" s="223" t="s">
        <v>673</v>
      </c>
      <c r="F140" s="224">
        <v>12.7</v>
      </c>
      <c r="G140" s="191">
        <f t="shared" si="8"/>
        <v>50.84</v>
      </c>
      <c r="H140" s="225">
        <v>13.23</v>
      </c>
      <c r="I140" s="170">
        <f t="shared" si="9"/>
        <v>52.96</v>
      </c>
    </row>
    <row r="141" spans="1:9" ht="36" x14ac:dyDescent="0.2">
      <c r="A141" s="219" t="s">
        <v>196</v>
      </c>
      <c r="B141" s="220" t="s">
        <v>674</v>
      </c>
      <c r="C141" s="221" t="s">
        <v>375</v>
      </c>
      <c r="D141" s="222" t="s">
        <v>368</v>
      </c>
      <c r="E141" s="223" t="s">
        <v>675</v>
      </c>
      <c r="F141" s="224">
        <v>12.14</v>
      </c>
      <c r="G141" s="191">
        <f t="shared" si="8"/>
        <v>9.35</v>
      </c>
      <c r="H141" s="225">
        <v>12.49</v>
      </c>
      <c r="I141" s="170">
        <f t="shared" si="9"/>
        <v>9.6199999999999992</v>
      </c>
    </row>
    <row r="142" spans="1:9" ht="36" x14ac:dyDescent="0.2">
      <c r="A142" s="219" t="s">
        <v>196</v>
      </c>
      <c r="B142" s="220" t="s">
        <v>676</v>
      </c>
      <c r="C142" s="221" t="s">
        <v>381</v>
      </c>
      <c r="D142" s="222" t="s">
        <v>368</v>
      </c>
      <c r="E142" s="223" t="s">
        <v>677</v>
      </c>
      <c r="F142" s="224">
        <v>11.51</v>
      </c>
      <c r="G142" s="191">
        <f t="shared" si="8"/>
        <v>4.67</v>
      </c>
      <c r="H142" s="225">
        <v>11.74</v>
      </c>
      <c r="I142" s="170">
        <f t="shared" si="9"/>
        <v>4.7699999999999996</v>
      </c>
    </row>
    <row r="143" spans="1:9" ht="36" x14ac:dyDescent="0.2">
      <c r="A143" s="219" t="s">
        <v>196</v>
      </c>
      <c r="B143" s="220" t="s">
        <v>678</v>
      </c>
      <c r="C143" s="221" t="s">
        <v>372</v>
      </c>
      <c r="D143" s="222" t="s">
        <v>368</v>
      </c>
      <c r="E143" s="223" t="s">
        <v>679</v>
      </c>
      <c r="F143" s="224">
        <v>10.33</v>
      </c>
      <c r="G143" s="191">
        <f t="shared" si="8"/>
        <v>222.3</v>
      </c>
      <c r="H143" s="225">
        <v>10.48</v>
      </c>
      <c r="I143" s="170">
        <f t="shared" si="9"/>
        <v>225.53</v>
      </c>
    </row>
    <row r="144" spans="1:9" ht="36" x14ac:dyDescent="0.2">
      <c r="A144" s="219" t="s">
        <v>196</v>
      </c>
      <c r="B144" s="220" t="s">
        <v>680</v>
      </c>
      <c r="C144" s="221" t="s">
        <v>373</v>
      </c>
      <c r="D144" s="222" t="s">
        <v>368</v>
      </c>
      <c r="E144" s="223" t="s">
        <v>681</v>
      </c>
      <c r="F144" s="224">
        <v>8.7100000000000009</v>
      </c>
      <c r="G144" s="191">
        <f t="shared" si="8"/>
        <v>91.65</v>
      </c>
      <c r="H144" s="225">
        <v>8.81</v>
      </c>
      <c r="I144" s="170">
        <f t="shared" si="9"/>
        <v>92.7</v>
      </c>
    </row>
    <row r="145" spans="1:9" ht="36" x14ac:dyDescent="0.2">
      <c r="A145" s="219" t="s">
        <v>196</v>
      </c>
      <c r="B145" s="220" t="s">
        <v>682</v>
      </c>
      <c r="C145" s="221" t="s">
        <v>683</v>
      </c>
      <c r="D145" s="222" t="s">
        <v>368</v>
      </c>
      <c r="E145" s="223" t="s">
        <v>684</v>
      </c>
      <c r="F145" s="224">
        <v>12.27</v>
      </c>
      <c r="G145" s="191">
        <f t="shared" si="8"/>
        <v>66.33</v>
      </c>
      <c r="H145" s="225">
        <v>12.73</v>
      </c>
      <c r="I145" s="170">
        <f t="shared" si="9"/>
        <v>68.819999999999993</v>
      </c>
    </row>
    <row r="146" spans="1:9" ht="36" x14ac:dyDescent="0.2">
      <c r="A146" s="219" t="s">
        <v>196</v>
      </c>
      <c r="B146" s="220" t="s">
        <v>685</v>
      </c>
      <c r="C146" s="221" t="s">
        <v>686</v>
      </c>
      <c r="D146" s="222" t="s">
        <v>368</v>
      </c>
      <c r="E146" s="223" t="s">
        <v>687</v>
      </c>
      <c r="F146" s="224">
        <v>11.7</v>
      </c>
      <c r="G146" s="191">
        <f t="shared" si="8"/>
        <v>109.13</v>
      </c>
      <c r="H146" s="225">
        <v>11.99</v>
      </c>
      <c r="I146" s="170">
        <f t="shared" si="9"/>
        <v>111.84</v>
      </c>
    </row>
    <row r="147" spans="1:9" ht="36" x14ac:dyDescent="0.2">
      <c r="A147" s="219" t="s">
        <v>196</v>
      </c>
      <c r="B147" s="220" t="s">
        <v>688</v>
      </c>
      <c r="C147" s="221" t="s">
        <v>689</v>
      </c>
      <c r="D147" s="222" t="s">
        <v>368</v>
      </c>
      <c r="E147" s="223" t="s">
        <v>690</v>
      </c>
      <c r="F147" s="224">
        <v>11.11</v>
      </c>
      <c r="G147" s="191">
        <f t="shared" si="8"/>
        <v>74.040000000000006</v>
      </c>
      <c r="H147" s="225">
        <v>11.28</v>
      </c>
      <c r="I147" s="170">
        <f t="shared" si="9"/>
        <v>75.17</v>
      </c>
    </row>
    <row r="148" spans="1:9" ht="36" x14ac:dyDescent="0.2">
      <c r="A148" s="219" t="s">
        <v>196</v>
      </c>
      <c r="B148" s="220" t="s">
        <v>691</v>
      </c>
      <c r="C148" s="221" t="s">
        <v>692</v>
      </c>
      <c r="D148" s="222" t="s">
        <v>368</v>
      </c>
      <c r="E148" s="223" t="s">
        <v>693</v>
      </c>
      <c r="F148" s="224">
        <v>17.64</v>
      </c>
      <c r="G148" s="191">
        <f t="shared" si="8"/>
        <v>35.869999999999997</v>
      </c>
      <c r="H148" s="225">
        <v>18.68</v>
      </c>
      <c r="I148" s="170">
        <f t="shared" si="9"/>
        <v>37.99</v>
      </c>
    </row>
    <row r="149" spans="1:9" ht="36" x14ac:dyDescent="0.2">
      <c r="A149" s="219" t="s">
        <v>196</v>
      </c>
      <c r="B149" s="220" t="s">
        <v>694</v>
      </c>
      <c r="C149" s="221" t="s">
        <v>695</v>
      </c>
      <c r="D149" s="222" t="s">
        <v>368</v>
      </c>
      <c r="E149" s="223" t="s">
        <v>696</v>
      </c>
      <c r="F149" s="224">
        <v>14.52</v>
      </c>
      <c r="G149" s="191">
        <f t="shared" si="8"/>
        <v>75.319999999999993</v>
      </c>
      <c r="H149" s="225">
        <v>15.12</v>
      </c>
      <c r="I149" s="170">
        <f t="shared" si="9"/>
        <v>78.430000000000007</v>
      </c>
    </row>
    <row r="150" spans="1:9" ht="36" x14ac:dyDescent="0.2">
      <c r="A150" s="219" t="s">
        <v>196</v>
      </c>
      <c r="B150" s="220" t="s">
        <v>697</v>
      </c>
      <c r="C150" s="221" t="s">
        <v>698</v>
      </c>
      <c r="D150" s="222" t="s">
        <v>368</v>
      </c>
      <c r="E150" s="223" t="s">
        <v>699</v>
      </c>
      <c r="F150" s="224">
        <v>11.7</v>
      </c>
      <c r="G150" s="191">
        <f t="shared" si="8"/>
        <v>3.18</v>
      </c>
      <c r="H150" s="225">
        <v>12.03</v>
      </c>
      <c r="I150" s="170">
        <f t="shared" si="9"/>
        <v>3.27</v>
      </c>
    </row>
    <row r="151" spans="1:9" ht="36" x14ac:dyDescent="0.2">
      <c r="A151" s="219" t="s">
        <v>196</v>
      </c>
      <c r="B151" s="220" t="s">
        <v>700</v>
      </c>
      <c r="C151" s="221" t="s">
        <v>701</v>
      </c>
      <c r="D151" s="222" t="s">
        <v>664</v>
      </c>
      <c r="E151" s="223" t="s">
        <v>702</v>
      </c>
      <c r="F151" s="224">
        <v>85.73</v>
      </c>
      <c r="G151" s="191">
        <f t="shared" si="8"/>
        <v>285.61</v>
      </c>
      <c r="H151" s="225">
        <v>92.48</v>
      </c>
      <c r="I151" s="170">
        <f t="shared" si="9"/>
        <v>308.10000000000002</v>
      </c>
    </row>
    <row r="152" spans="1:9" ht="24" x14ac:dyDescent="0.2">
      <c r="A152" s="219" t="s">
        <v>196</v>
      </c>
      <c r="B152" s="220" t="s">
        <v>703</v>
      </c>
      <c r="C152" s="221" t="s">
        <v>704</v>
      </c>
      <c r="D152" s="222" t="s">
        <v>368</v>
      </c>
      <c r="E152" s="223" t="s">
        <v>705</v>
      </c>
      <c r="F152" s="224">
        <v>17.45</v>
      </c>
      <c r="G152" s="191">
        <f t="shared" si="8"/>
        <v>3.39</v>
      </c>
      <c r="H152" s="225">
        <v>18.57</v>
      </c>
      <c r="I152" s="170">
        <f t="shared" si="9"/>
        <v>3.61</v>
      </c>
    </row>
    <row r="153" spans="1:9" ht="24" x14ac:dyDescent="0.2">
      <c r="A153" s="219" t="s">
        <v>196</v>
      </c>
      <c r="B153" s="220" t="s">
        <v>706</v>
      </c>
      <c r="C153" s="221" t="s">
        <v>707</v>
      </c>
      <c r="D153" s="222" t="s">
        <v>368</v>
      </c>
      <c r="E153" s="223" t="s">
        <v>708</v>
      </c>
      <c r="F153" s="224">
        <v>15.91</v>
      </c>
      <c r="G153" s="191">
        <f t="shared" si="8"/>
        <v>5.34</v>
      </c>
      <c r="H153" s="225">
        <v>16.73</v>
      </c>
      <c r="I153" s="170">
        <f t="shared" si="9"/>
        <v>5.62</v>
      </c>
    </row>
    <row r="154" spans="1:9" ht="24" x14ac:dyDescent="0.2">
      <c r="A154" s="219" t="s">
        <v>196</v>
      </c>
      <c r="B154" s="220" t="s">
        <v>709</v>
      </c>
      <c r="C154" s="221" t="s">
        <v>710</v>
      </c>
      <c r="D154" s="222" t="s">
        <v>368</v>
      </c>
      <c r="E154" s="223" t="s">
        <v>711</v>
      </c>
      <c r="F154" s="224">
        <v>14.5</v>
      </c>
      <c r="G154" s="191">
        <f t="shared" si="8"/>
        <v>2.56</v>
      </c>
      <c r="H154" s="225">
        <v>15.1</v>
      </c>
      <c r="I154" s="170">
        <f t="shared" si="9"/>
        <v>2.67</v>
      </c>
    </row>
    <row r="155" spans="1:9" ht="24" x14ac:dyDescent="0.2">
      <c r="A155" s="219" t="s">
        <v>196</v>
      </c>
      <c r="B155" s="220" t="s">
        <v>712</v>
      </c>
      <c r="C155" s="221" t="s">
        <v>713</v>
      </c>
      <c r="D155" s="222" t="s">
        <v>368</v>
      </c>
      <c r="E155" s="223" t="s">
        <v>714</v>
      </c>
      <c r="F155" s="224">
        <v>12.76</v>
      </c>
      <c r="G155" s="191">
        <f t="shared" si="8"/>
        <v>34.35</v>
      </c>
      <c r="H155" s="225">
        <v>13.21</v>
      </c>
      <c r="I155" s="170">
        <f t="shared" si="9"/>
        <v>35.56</v>
      </c>
    </row>
    <row r="156" spans="1:9" ht="36" x14ac:dyDescent="0.2">
      <c r="A156" s="219" t="s">
        <v>196</v>
      </c>
      <c r="B156" s="220" t="s">
        <v>715</v>
      </c>
      <c r="C156" s="221" t="s">
        <v>716</v>
      </c>
      <c r="D156" s="222" t="s">
        <v>717</v>
      </c>
      <c r="E156" s="223" t="s">
        <v>718</v>
      </c>
      <c r="F156" s="224">
        <v>666.39</v>
      </c>
      <c r="G156" s="191">
        <f t="shared" si="8"/>
        <v>27.05</v>
      </c>
      <c r="H156" s="225">
        <v>668.42</v>
      </c>
      <c r="I156" s="170">
        <f t="shared" si="9"/>
        <v>27.13</v>
      </c>
    </row>
    <row r="157" spans="1:9" ht="36" x14ac:dyDescent="0.2">
      <c r="A157" s="219" t="s">
        <v>196</v>
      </c>
      <c r="B157" s="220" t="s">
        <v>719</v>
      </c>
      <c r="C157" s="221" t="s">
        <v>720</v>
      </c>
      <c r="D157" s="222" t="s">
        <v>664</v>
      </c>
      <c r="E157" s="223" t="s">
        <v>721</v>
      </c>
      <c r="F157" s="224">
        <v>284.8</v>
      </c>
      <c r="G157" s="191">
        <f t="shared" si="8"/>
        <v>323.47000000000003</v>
      </c>
      <c r="H157" s="225">
        <v>299.20999999999998</v>
      </c>
      <c r="I157" s="170">
        <f t="shared" si="9"/>
        <v>339.84</v>
      </c>
    </row>
    <row r="158" spans="1:9" ht="24" x14ac:dyDescent="0.2">
      <c r="A158" s="219" t="s">
        <v>196</v>
      </c>
      <c r="B158" s="220" t="s">
        <v>722</v>
      </c>
      <c r="C158" s="221" t="s">
        <v>723</v>
      </c>
      <c r="D158" s="222" t="s">
        <v>717</v>
      </c>
      <c r="E158" s="223" t="s">
        <v>724</v>
      </c>
      <c r="F158" s="224">
        <v>599.77</v>
      </c>
      <c r="G158" s="191">
        <f t="shared" si="8"/>
        <v>149.4</v>
      </c>
      <c r="H158" s="225">
        <v>603.91999999999996</v>
      </c>
      <c r="I158" s="170">
        <f t="shared" si="9"/>
        <v>150.43</v>
      </c>
    </row>
    <row r="159" spans="1:9" ht="36" x14ac:dyDescent="0.2">
      <c r="A159" s="219" t="s">
        <v>196</v>
      </c>
      <c r="B159" s="220" t="s">
        <v>725</v>
      </c>
      <c r="C159" s="221" t="s">
        <v>726</v>
      </c>
      <c r="D159" s="222" t="s">
        <v>717</v>
      </c>
      <c r="E159" s="223" t="s">
        <v>727</v>
      </c>
      <c r="F159" s="224">
        <v>600.16</v>
      </c>
      <c r="G159" s="191">
        <f t="shared" si="8"/>
        <v>337.71</v>
      </c>
      <c r="H159" s="225">
        <v>604.41</v>
      </c>
      <c r="I159" s="170">
        <f t="shared" si="9"/>
        <v>340.1</v>
      </c>
    </row>
    <row r="160" spans="1:9" ht="24" x14ac:dyDescent="0.2">
      <c r="A160" s="219" t="s">
        <v>196</v>
      </c>
      <c r="B160" s="220" t="s">
        <v>728</v>
      </c>
      <c r="C160" s="221" t="s">
        <v>729</v>
      </c>
      <c r="D160" s="222" t="s">
        <v>717</v>
      </c>
      <c r="E160" s="223" t="s">
        <v>730</v>
      </c>
      <c r="F160" s="224">
        <v>653.45000000000005</v>
      </c>
      <c r="G160" s="191">
        <f t="shared" si="8"/>
        <v>96.51</v>
      </c>
      <c r="H160" s="225">
        <v>664.34</v>
      </c>
      <c r="I160" s="170">
        <f t="shared" si="9"/>
        <v>98.12</v>
      </c>
    </row>
    <row r="161" spans="1:9" ht="36" x14ac:dyDescent="0.2">
      <c r="A161" s="219" t="s">
        <v>196</v>
      </c>
      <c r="B161" s="220" t="s">
        <v>731</v>
      </c>
      <c r="C161" s="221" t="s">
        <v>732</v>
      </c>
      <c r="D161" s="222" t="s">
        <v>368</v>
      </c>
      <c r="E161" s="223" t="s">
        <v>733</v>
      </c>
      <c r="F161" s="224">
        <v>9.9600000000000009</v>
      </c>
      <c r="G161" s="191">
        <f t="shared" si="8"/>
        <v>14.7</v>
      </c>
      <c r="H161" s="225">
        <v>10.210000000000001</v>
      </c>
      <c r="I161" s="170">
        <f t="shared" si="9"/>
        <v>15.07</v>
      </c>
    </row>
    <row r="162" spans="1:9" x14ac:dyDescent="0.2">
      <c r="A162" s="226"/>
      <c r="B162" s="227"/>
      <c r="C162" s="227"/>
      <c r="D162" s="227"/>
      <c r="E162" s="228"/>
      <c r="F162" s="229" t="s">
        <v>201</v>
      </c>
      <c r="G162" s="230">
        <f>TRUNC(SUM(G137:G161),2)</f>
        <v>2811.61</v>
      </c>
      <c r="H162" s="231" t="s">
        <v>201</v>
      </c>
      <c r="I162" s="232">
        <f>TRUNC(SUM(I137:I161),2)</f>
        <v>2909.65</v>
      </c>
    </row>
    <row r="164" spans="1:9" x14ac:dyDescent="0.2">
      <c r="A164" s="402" t="s">
        <v>771</v>
      </c>
      <c r="B164" s="403"/>
      <c r="C164" s="403"/>
      <c r="D164" s="403"/>
      <c r="E164" s="403"/>
      <c r="F164" s="403"/>
      <c r="G164" s="403"/>
      <c r="H164" s="403"/>
      <c r="I164" s="404"/>
    </row>
    <row r="165" spans="1:9" x14ac:dyDescent="0.2">
      <c r="A165" s="405"/>
      <c r="B165" s="406"/>
      <c r="C165" s="406"/>
      <c r="D165" s="406"/>
      <c r="E165" s="406"/>
      <c r="F165" s="406"/>
      <c r="G165" s="406"/>
      <c r="H165" s="406"/>
      <c r="I165" s="407"/>
    </row>
    <row r="166" spans="1:9" x14ac:dyDescent="0.2">
      <c r="A166" s="410" t="s">
        <v>641</v>
      </c>
      <c r="B166" s="411"/>
      <c r="C166" s="151" t="s">
        <v>268</v>
      </c>
      <c r="D166" s="414" t="s">
        <v>777</v>
      </c>
      <c r="E166" s="414"/>
      <c r="F166" s="414"/>
      <c r="G166" s="414"/>
      <c r="H166" s="414"/>
      <c r="I166" s="415"/>
    </row>
    <row r="167" spans="1:9" x14ac:dyDescent="0.2">
      <c r="A167" s="412"/>
      <c r="B167" s="413"/>
      <c r="C167" s="416" t="s">
        <v>182</v>
      </c>
      <c r="D167" s="417" t="s">
        <v>771</v>
      </c>
      <c r="E167" s="417"/>
      <c r="F167" s="417"/>
      <c r="G167" s="417"/>
      <c r="H167" s="417"/>
      <c r="I167" s="417"/>
    </row>
    <row r="168" spans="1:9" x14ac:dyDescent="0.2">
      <c r="A168" s="412"/>
      <c r="B168" s="413"/>
      <c r="C168" s="416"/>
      <c r="D168" s="417"/>
      <c r="E168" s="418"/>
      <c r="F168" s="418"/>
      <c r="G168" s="418"/>
      <c r="H168" s="418"/>
      <c r="I168" s="418"/>
    </row>
    <row r="169" spans="1:9" x14ac:dyDescent="0.2">
      <c r="A169" s="412"/>
      <c r="B169" s="413"/>
      <c r="C169" s="152" t="s">
        <v>269</v>
      </c>
      <c r="D169" s="153" t="s">
        <v>664</v>
      </c>
      <c r="E169" s="419" t="s">
        <v>270</v>
      </c>
      <c r="F169" s="420">
        <f>G177</f>
        <v>44.75</v>
      </c>
      <c r="G169" s="420"/>
      <c r="H169" s="421">
        <f>I177</f>
        <v>48.3</v>
      </c>
      <c r="I169" s="421"/>
    </row>
    <row r="170" spans="1:9" x14ac:dyDescent="0.2">
      <c r="A170" s="412"/>
      <c r="B170" s="413"/>
      <c r="C170" s="152" t="s">
        <v>271</v>
      </c>
      <c r="D170" s="153">
        <v>1</v>
      </c>
      <c r="E170" s="419"/>
      <c r="F170" s="420"/>
      <c r="G170" s="420"/>
      <c r="H170" s="421"/>
      <c r="I170" s="421"/>
    </row>
    <row r="171" spans="1:9" x14ac:dyDescent="0.2">
      <c r="A171" s="200"/>
      <c r="B171" s="2"/>
      <c r="C171" s="3"/>
      <c r="D171" s="4"/>
      <c r="E171" s="185"/>
      <c r="F171" s="422" t="s">
        <v>186</v>
      </c>
      <c r="G171" s="422"/>
      <c r="H171" s="423" t="s">
        <v>187</v>
      </c>
      <c r="I171" s="423"/>
    </row>
    <row r="172" spans="1:9" ht="24" x14ac:dyDescent="0.2">
      <c r="A172" s="197" t="s">
        <v>188</v>
      </c>
      <c r="B172" s="155" t="s">
        <v>189</v>
      </c>
      <c r="C172" s="156" t="s">
        <v>108</v>
      </c>
      <c r="D172" s="157" t="s">
        <v>183</v>
      </c>
      <c r="E172" s="158" t="s">
        <v>190</v>
      </c>
      <c r="F172" s="186" t="s">
        <v>191</v>
      </c>
      <c r="G172" s="187" t="s">
        <v>192</v>
      </c>
      <c r="H172" s="188" t="s">
        <v>191</v>
      </c>
      <c r="I172" s="189" t="s">
        <v>192</v>
      </c>
    </row>
    <row r="173" spans="1:9" ht="36" x14ac:dyDescent="0.2">
      <c r="A173" s="198" t="s">
        <v>196</v>
      </c>
      <c r="B173" s="171" t="s">
        <v>772</v>
      </c>
      <c r="C173" s="164" t="s">
        <v>773</v>
      </c>
      <c r="D173" s="165" t="s">
        <v>118</v>
      </c>
      <c r="E173" s="166">
        <v>2.5000000000000001E-2</v>
      </c>
      <c r="F173" s="190">
        <v>677.83</v>
      </c>
      <c r="G173" s="191">
        <f>TRUNC($E173*F173,2)</f>
        <v>16.940000000000001</v>
      </c>
      <c r="H173" s="192">
        <v>692.64</v>
      </c>
      <c r="I173" s="170">
        <f>TRUNC($E173*H173,2)</f>
        <v>17.309999999999999</v>
      </c>
    </row>
    <row r="174" spans="1:9" ht="24" x14ac:dyDescent="0.2">
      <c r="A174" s="198" t="s">
        <v>196</v>
      </c>
      <c r="B174" s="171" t="s">
        <v>197</v>
      </c>
      <c r="C174" s="164" t="s">
        <v>198</v>
      </c>
      <c r="D174" s="165" t="s">
        <v>103</v>
      </c>
      <c r="E174" s="166">
        <v>0.97499999999999998</v>
      </c>
      <c r="F174" s="190">
        <v>22.63</v>
      </c>
      <c r="G174" s="170">
        <f>TRUNC($E174*F174,2)</f>
        <v>22.06</v>
      </c>
      <c r="H174" s="192">
        <v>25.46</v>
      </c>
      <c r="I174" s="170">
        <f>TRUNC($E174*H174,2)</f>
        <v>24.82</v>
      </c>
    </row>
    <row r="175" spans="1:9" ht="24" x14ac:dyDescent="0.2">
      <c r="A175" s="198" t="s">
        <v>196</v>
      </c>
      <c r="B175" s="171" t="s">
        <v>199</v>
      </c>
      <c r="C175" s="164" t="s">
        <v>200</v>
      </c>
      <c r="D175" s="165" t="s">
        <v>103</v>
      </c>
      <c r="E175" s="166">
        <v>0.19700000000000001</v>
      </c>
      <c r="F175" s="190">
        <v>18.14</v>
      </c>
      <c r="G175" s="170">
        <f>TRUNC($E175*F175,2)</f>
        <v>3.57</v>
      </c>
      <c r="H175" s="192">
        <v>20.28</v>
      </c>
      <c r="I175" s="170">
        <f>TRUNC($E175*H175,2)</f>
        <v>3.99</v>
      </c>
    </row>
    <row r="176" spans="1:9" ht="24" x14ac:dyDescent="0.2">
      <c r="A176" s="198" t="s">
        <v>193</v>
      </c>
      <c r="B176" s="171" t="s">
        <v>774</v>
      </c>
      <c r="C176" s="164" t="s">
        <v>775</v>
      </c>
      <c r="D176" s="165" t="s">
        <v>776</v>
      </c>
      <c r="E176" s="166">
        <v>0.28000000000000003</v>
      </c>
      <c r="F176" s="190">
        <v>7.81</v>
      </c>
      <c r="G176" s="170">
        <f>TRUNC($E176*F176,2)</f>
        <v>2.1800000000000002</v>
      </c>
      <c r="H176" s="192">
        <v>7.81</v>
      </c>
      <c r="I176" s="170">
        <f>TRUNC($E176*H176,2)</f>
        <v>2.1800000000000002</v>
      </c>
    </row>
    <row r="177" spans="1:9" x14ac:dyDescent="0.2">
      <c r="A177" s="199"/>
      <c r="B177" s="193"/>
      <c r="C177" s="193"/>
      <c r="D177" s="193"/>
      <c r="E177" s="194"/>
      <c r="F177" s="178" t="s">
        <v>201</v>
      </c>
      <c r="G177" s="195">
        <f>TRUNC(SUM(G173:G176),2)</f>
        <v>44.75</v>
      </c>
      <c r="H177" s="179" t="s">
        <v>201</v>
      </c>
      <c r="I177" s="196">
        <f>TRUNC(SUM(I173:I176),2)</f>
        <v>48.3</v>
      </c>
    </row>
    <row r="179" spans="1:9" x14ac:dyDescent="0.2">
      <c r="A179" s="402" t="s">
        <v>778</v>
      </c>
      <c r="B179" s="403"/>
      <c r="C179" s="403"/>
      <c r="D179" s="403"/>
      <c r="E179" s="403"/>
      <c r="F179" s="403"/>
      <c r="G179" s="403"/>
      <c r="H179" s="403"/>
      <c r="I179" s="404"/>
    </row>
    <row r="180" spans="1:9" x14ac:dyDescent="0.2">
      <c r="A180" s="405"/>
      <c r="B180" s="406"/>
      <c r="C180" s="406"/>
      <c r="D180" s="406"/>
      <c r="E180" s="406"/>
      <c r="F180" s="406"/>
      <c r="G180" s="406"/>
      <c r="H180" s="406"/>
      <c r="I180" s="407"/>
    </row>
    <row r="181" spans="1:9" x14ac:dyDescent="0.2">
      <c r="A181" s="410" t="s">
        <v>655</v>
      </c>
      <c r="B181" s="411"/>
      <c r="C181" s="151" t="s">
        <v>268</v>
      </c>
      <c r="D181" s="414" t="s">
        <v>779</v>
      </c>
      <c r="E181" s="414"/>
      <c r="F181" s="414"/>
      <c r="G181" s="414"/>
      <c r="H181" s="414"/>
      <c r="I181" s="415"/>
    </row>
    <row r="182" spans="1:9" x14ac:dyDescent="0.2">
      <c r="A182" s="412"/>
      <c r="B182" s="413"/>
      <c r="C182" s="416" t="s">
        <v>182</v>
      </c>
      <c r="D182" s="417" t="s">
        <v>778</v>
      </c>
      <c r="E182" s="417"/>
      <c r="F182" s="417"/>
      <c r="G182" s="417"/>
      <c r="H182" s="417"/>
      <c r="I182" s="417"/>
    </row>
    <row r="183" spans="1:9" x14ac:dyDescent="0.2">
      <c r="A183" s="412"/>
      <c r="B183" s="413"/>
      <c r="C183" s="416"/>
      <c r="D183" s="417"/>
      <c r="E183" s="418"/>
      <c r="F183" s="418"/>
      <c r="G183" s="418"/>
      <c r="H183" s="418"/>
      <c r="I183" s="418"/>
    </row>
    <row r="184" spans="1:9" x14ac:dyDescent="0.2">
      <c r="A184" s="412"/>
      <c r="B184" s="413"/>
      <c r="C184" s="152" t="s">
        <v>269</v>
      </c>
      <c r="D184" s="153" t="s">
        <v>664</v>
      </c>
      <c r="E184" s="419" t="s">
        <v>270</v>
      </c>
      <c r="F184" s="420">
        <f>G192</f>
        <v>41.6</v>
      </c>
      <c r="G184" s="420"/>
      <c r="H184" s="421">
        <f>I192</f>
        <v>44.85</v>
      </c>
      <c r="I184" s="421"/>
    </row>
    <row r="185" spans="1:9" x14ac:dyDescent="0.2">
      <c r="A185" s="412"/>
      <c r="B185" s="413"/>
      <c r="C185" s="152" t="s">
        <v>271</v>
      </c>
      <c r="D185" s="153">
        <v>1</v>
      </c>
      <c r="E185" s="419"/>
      <c r="F185" s="420"/>
      <c r="G185" s="420"/>
      <c r="H185" s="421"/>
      <c r="I185" s="421"/>
    </row>
    <row r="186" spans="1:9" x14ac:dyDescent="0.2">
      <c r="A186" s="200"/>
      <c r="B186" s="2"/>
      <c r="C186" s="3"/>
      <c r="D186" s="4"/>
      <c r="E186" s="185"/>
      <c r="F186" s="422" t="s">
        <v>186</v>
      </c>
      <c r="G186" s="422"/>
      <c r="H186" s="423" t="s">
        <v>187</v>
      </c>
      <c r="I186" s="423"/>
    </row>
    <row r="187" spans="1:9" ht="24" x14ac:dyDescent="0.2">
      <c r="A187" s="197" t="s">
        <v>188</v>
      </c>
      <c r="B187" s="155" t="s">
        <v>189</v>
      </c>
      <c r="C187" s="156" t="s">
        <v>108</v>
      </c>
      <c r="D187" s="157" t="s">
        <v>183</v>
      </c>
      <c r="E187" s="158" t="s">
        <v>190</v>
      </c>
      <c r="F187" s="186" t="s">
        <v>191</v>
      </c>
      <c r="G187" s="187" t="s">
        <v>192</v>
      </c>
      <c r="H187" s="188" t="s">
        <v>191</v>
      </c>
      <c r="I187" s="189" t="s">
        <v>192</v>
      </c>
    </row>
    <row r="188" spans="1:9" ht="48" x14ac:dyDescent="0.2">
      <c r="A188" s="198" t="s">
        <v>196</v>
      </c>
      <c r="B188" s="171" t="s">
        <v>780</v>
      </c>
      <c r="C188" s="164" t="s">
        <v>781</v>
      </c>
      <c r="D188" s="165" t="s">
        <v>118</v>
      </c>
      <c r="E188" s="166">
        <v>2.5000000000000001E-2</v>
      </c>
      <c r="F188" s="190">
        <v>630.95000000000005</v>
      </c>
      <c r="G188" s="191">
        <f>TRUNC($E188*F188,2)</f>
        <v>15.77</v>
      </c>
      <c r="H188" s="192">
        <v>648.24</v>
      </c>
      <c r="I188" s="170">
        <f>TRUNC($E188*H188,2)</f>
        <v>16.2</v>
      </c>
    </row>
    <row r="189" spans="1:9" ht="24" x14ac:dyDescent="0.2">
      <c r="A189" s="198" t="s">
        <v>196</v>
      </c>
      <c r="B189" s="171" t="s">
        <v>197</v>
      </c>
      <c r="C189" s="164" t="s">
        <v>198</v>
      </c>
      <c r="D189" s="165" t="s">
        <v>103</v>
      </c>
      <c r="E189" s="166">
        <v>0.86699999999999999</v>
      </c>
      <c r="F189" s="190">
        <v>22.63</v>
      </c>
      <c r="G189" s="170">
        <f>TRUNC($E189*F189,2)</f>
        <v>19.62</v>
      </c>
      <c r="H189" s="192">
        <v>25.46</v>
      </c>
      <c r="I189" s="170">
        <f>TRUNC($E189*H189,2)</f>
        <v>22.07</v>
      </c>
    </row>
    <row r="190" spans="1:9" ht="24" x14ac:dyDescent="0.2">
      <c r="A190" s="198" t="s">
        <v>196</v>
      </c>
      <c r="B190" s="171" t="s">
        <v>199</v>
      </c>
      <c r="C190" s="164" t="s">
        <v>200</v>
      </c>
      <c r="D190" s="165" t="s">
        <v>103</v>
      </c>
      <c r="E190" s="166">
        <v>0.17599999999999999</v>
      </c>
      <c r="F190" s="190">
        <v>18.14</v>
      </c>
      <c r="G190" s="170">
        <f>TRUNC($E190*F190,2)</f>
        <v>3.19</v>
      </c>
      <c r="H190" s="192">
        <v>20.28</v>
      </c>
      <c r="I190" s="170">
        <f>TRUNC($E190*H190,2)</f>
        <v>3.56</v>
      </c>
    </row>
    <row r="191" spans="1:9" ht="24" x14ac:dyDescent="0.2">
      <c r="A191" s="198" t="s">
        <v>193</v>
      </c>
      <c r="B191" s="171" t="s">
        <v>774</v>
      </c>
      <c r="C191" s="164" t="s">
        <v>775</v>
      </c>
      <c r="D191" s="165" t="s">
        <v>776</v>
      </c>
      <c r="E191" s="166">
        <v>0.38700000000000001</v>
      </c>
      <c r="F191" s="190">
        <v>7.81</v>
      </c>
      <c r="G191" s="170">
        <f>TRUNC($E191*F191,2)</f>
        <v>3.02</v>
      </c>
      <c r="H191" s="192">
        <v>7.81</v>
      </c>
      <c r="I191" s="170">
        <f>TRUNC($E191*H191,2)</f>
        <v>3.02</v>
      </c>
    </row>
    <row r="192" spans="1:9" x14ac:dyDescent="0.2">
      <c r="A192" s="199"/>
      <c r="B192" s="193"/>
      <c r="C192" s="193"/>
      <c r="D192" s="193"/>
      <c r="E192" s="194"/>
      <c r="F192" s="178" t="s">
        <v>201</v>
      </c>
      <c r="G192" s="195">
        <f>TRUNC(SUM(G188:G191),2)</f>
        <v>41.6</v>
      </c>
      <c r="H192" s="179" t="s">
        <v>201</v>
      </c>
      <c r="I192" s="196">
        <f>TRUNC(SUM(I188:I191),2)</f>
        <v>44.85</v>
      </c>
    </row>
    <row r="525" spans="12:12" x14ac:dyDescent="0.2">
      <c r="L525" s="176" t="e">
        <f>#REF!</f>
        <v>#REF!</v>
      </c>
    </row>
  </sheetData>
  <mergeCells count="101">
    <mergeCell ref="F186:G186"/>
    <mergeCell ref="H186:I186"/>
    <mergeCell ref="F171:G171"/>
    <mergeCell ref="H171:I171"/>
    <mergeCell ref="A179:I180"/>
    <mergeCell ref="A181:B185"/>
    <mergeCell ref="D181:I181"/>
    <mergeCell ref="C182:C183"/>
    <mergeCell ref="D182:I183"/>
    <mergeCell ref="E184:E185"/>
    <mergeCell ref="F184:G185"/>
    <mergeCell ref="H184:I185"/>
    <mergeCell ref="F46:G46"/>
    <mergeCell ref="H46:I46"/>
    <mergeCell ref="F62:G63"/>
    <mergeCell ref="H62:I63"/>
    <mergeCell ref="A164:I165"/>
    <mergeCell ref="A166:B170"/>
    <mergeCell ref="D166:I166"/>
    <mergeCell ref="C167:C168"/>
    <mergeCell ref="D167:I168"/>
    <mergeCell ref="E169:E170"/>
    <mergeCell ref="F169:G170"/>
    <mergeCell ref="H169:I170"/>
    <mergeCell ref="F64:G64"/>
    <mergeCell ref="H64:I64"/>
    <mergeCell ref="F135:G135"/>
    <mergeCell ref="H135:I135"/>
    <mergeCell ref="F115:G115"/>
    <mergeCell ref="H115:I115"/>
    <mergeCell ref="A127:I128"/>
    <mergeCell ref="A129:B134"/>
    <mergeCell ref="D129:I129"/>
    <mergeCell ref="C130:C132"/>
    <mergeCell ref="D130:I132"/>
    <mergeCell ref="E133:E134"/>
    <mergeCell ref="F30:G30"/>
    <mergeCell ref="H30:I30"/>
    <mergeCell ref="A57:I58"/>
    <mergeCell ref="F78:G78"/>
    <mergeCell ref="H78:I78"/>
    <mergeCell ref="E76:E77"/>
    <mergeCell ref="F16:G16"/>
    <mergeCell ref="H16:I16"/>
    <mergeCell ref="C74:C75"/>
    <mergeCell ref="D74:I75"/>
    <mergeCell ref="F76:G77"/>
    <mergeCell ref="H76:I77"/>
    <mergeCell ref="A59:B63"/>
    <mergeCell ref="D59:I59"/>
    <mergeCell ref="C60:C61"/>
    <mergeCell ref="D60:I61"/>
    <mergeCell ref="A71:I72"/>
    <mergeCell ref="A73:B77"/>
    <mergeCell ref="D73:I73"/>
    <mergeCell ref="D40:I40"/>
    <mergeCell ref="C41:C43"/>
    <mergeCell ref="D41:I43"/>
    <mergeCell ref="E44:E45"/>
    <mergeCell ref="F44:G45"/>
    <mergeCell ref="A2:I2"/>
    <mergeCell ref="A22:I23"/>
    <mergeCell ref="A24:B29"/>
    <mergeCell ref="D24:I24"/>
    <mergeCell ref="C25:C27"/>
    <mergeCell ref="D25:I27"/>
    <mergeCell ref="F28:G29"/>
    <mergeCell ref="H28:I29"/>
    <mergeCell ref="A8:I9"/>
    <mergeCell ref="A10:B15"/>
    <mergeCell ref="D10:I10"/>
    <mergeCell ref="C11:C13"/>
    <mergeCell ref="D11:I13"/>
    <mergeCell ref="E14:E15"/>
    <mergeCell ref="F14:G15"/>
    <mergeCell ref="H14:I15"/>
    <mergeCell ref="E28:E29"/>
    <mergeCell ref="F133:G134"/>
    <mergeCell ref="H133:I134"/>
    <mergeCell ref="A38:I39"/>
    <mergeCell ref="A40:B45"/>
    <mergeCell ref="A108:I109"/>
    <mergeCell ref="A110:B114"/>
    <mergeCell ref="D110:I110"/>
    <mergeCell ref="C111:C112"/>
    <mergeCell ref="D111:I112"/>
    <mergeCell ref="E113:E114"/>
    <mergeCell ref="F113:G114"/>
    <mergeCell ref="H113:I114"/>
    <mergeCell ref="F96:G96"/>
    <mergeCell ref="H96:I96"/>
    <mergeCell ref="A91:B95"/>
    <mergeCell ref="D91:I91"/>
    <mergeCell ref="C92:C93"/>
    <mergeCell ref="D92:I93"/>
    <mergeCell ref="E94:E95"/>
    <mergeCell ref="F94:G95"/>
    <mergeCell ref="H94:I95"/>
    <mergeCell ref="A89:I90"/>
    <mergeCell ref="H44:I45"/>
    <mergeCell ref="E62:E63"/>
  </mergeCells>
  <phoneticPr fontId="7" type="noConversion"/>
  <conditionalFormatting sqref="L6">
    <cfRule type="expression" dxfId="1" priority="9" stopIfTrue="1">
      <formula>AND($A6&lt;&gt;"COMPOSICAO",$A6&lt;&gt;"INSUMO",$A6&lt;&gt;"")</formula>
    </cfRule>
    <cfRule type="expression" dxfId="0" priority="10" stopIfTrue="1">
      <formula>AND(OR($A6="COMPOSICAO",$A6="INSUMO",$A6&lt;&gt;""),$A6&lt;&gt;"")</formula>
    </cfRule>
  </conditionalFormatting>
  <printOptions horizontalCentered="1"/>
  <pageMargins left="0.51181102362204722" right="0.51181102362204722" top="0.98425196850393704" bottom="0.78740157480314965" header="0.31496062992125984" footer="0.31496062992125984"/>
  <pageSetup paperSize="9" scale="65" fitToHeight="0" orientation="portrait" r:id="rId1"/>
  <headerFooter>
    <oddHeader>&amp;L&amp;G&amp;R&amp;G</oddHeader>
    <oddFooter>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B1:F61"/>
  <sheetViews>
    <sheetView view="pageBreakPreview" topLeftCell="A24" zoomScale="130" zoomScaleSheetLayoutView="130" workbookViewId="0">
      <selection activeCell="E7" sqref="E7"/>
    </sheetView>
  </sheetViews>
  <sheetFormatPr defaultRowHeight="15" x14ac:dyDescent="0.25"/>
  <cols>
    <col min="1" max="1" width="1.140625" customWidth="1"/>
    <col min="2" max="2" width="75.7109375" customWidth="1"/>
    <col min="3" max="3" width="10.140625" style="127" bestFit="1" customWidth="1"/>
    <col min="4" max="4" width="12" style="127" customWidth="1"/>
    <col min="5" max="5" width="11.42578125" customWidth="1"/>
    <col min="6" max="6" width="62.5703125" customWidth="1"/>
  </cols>
  <sheetData>
    <row r="1" spans="2:6" s="93" customFormat="1" ht="11.25" customHeight="1" x14ac:dyDescent="0.2">
      <c r="C1" s="94"/>
      <c r="D1" s="94"/>
    </row>
    <row r="2" spans="2:6" s="93" customFormat="1" ht="18.75" x14ac:dyDescent="0.3">
      <c r="B2" s="456" t="s">
        <v>61</v>
      </c>
      <c r="C2" s="456"/>
      <c r="D2" s="456"/>
    </row>
    <row r="3" spans="2:6" s="96" customFormat="1" ht="11.25" x14ac:dyDescent="0.2">
      <c r="B3" s="95"/>
      <c r="C3" s="95"/>
      <c r="D3" s="95"/>
    </row>
    <row r="4" spans="2:6" s="93" customFormat="1" ht="16.5" x14ac:dyDescent="0.3">
      <c r="B4" s="457" t="s">
        <v>388</v>
      </c>
      <c r="C4" s="457"/>
      <c r="D4" s="457"/>
    </row>
    <row r="5" spans="2:6" s="93" customFormat="1" ht="12.75" x14ac:dyDescent="0.2">
      <c r="B5" s="97"/>
      <c r="C5" s="97"/>
      <c r="D5" s="97"/>
    </row>
    <row r="6" spans="2:6" s="1" customFormat="1" ht="15" customHeight="1" x14ac:dyDescent="0.25">
      <c r="B6" s="458" t="str">
        <f>Orçamento!A3</f>
        <v>OBRA: AMPLIAÇÃO DA ESCOLA MUNICIPAL EPAMINONDAS MENDONÇA - ITEM 02</v>
      </c>
      <c r="C6" s="458"/>
      <c r="D6" s="458"/>
    </row>
    <row r="7" spans="2:6" s="1" customFormat="1" x14ac:dyDescent="0.25">
      <c r="B7" s="458" t="str">
        <f>Orçamento!A4</f>
        <v>LOCAL: DISTRITO FAZENDA NOVA- BREJO MADRE DE DEUS/PE.</v>
      </c>
      <c r="C7" s="458"/>
      <c r="D7" s="458"/>
    </row>
    <row r="8" spans="2:6" s="1" customFormat="1" x14ac:dyDescent="0.2">
      <c r="B8" s="459" t="str">
        <f>Orçamento!A6</f>
        <v>DATA BASE: AGOSTO/2024</v>
      </c>
      <c r="C8" s="459"/>
      <c r="D8" s="459"/>
    </row>
    <row r="9" spans="2:6" s="93" customFormat="1" ht="12.75" x14ac:dyDescent="0.2">
      <c r="B9" s="98"/>
      <c r="C9" s="99"/>
      <c r="D9" s="99"/>
    </row>
    <row r="10" spans="2:6" s="93" customFormat="1" ht="22.5" customHeight="1" x14ac:dyDescent="0.25">
      <c r="B10" s="100" t="s">
        <v>62</v>
      </c>
      <c r="C10" s="101" t="s">
        <v>63</v>
      </c>
      <c r="D10" s="101" t="s">
        <v>64</v>
      </c>
      <c r="F10" s="102" t="s">
        <v>65</v>
      </c>
    </row>
    <row r="11" spans="2:6" s="93" customFormat="1" x14ac:dyDescent="0.25">
      <c r="B11" s="103"/>
      <c r="C11" s="104"/>
      <c r="D11" s="104"/>
    </row>
    <row r="12" spans="2:6" s="93" customFormat="1" x14ac:dyDescent="0.25">
      <c r="B12" s="105" t="s">
        <v>66</v>
      </c>
      <c r="C12" s="106" t="s">
        <v>67</v>
      </c>
      <c r="D12" s="107">
        <v>0.04</v>
      </c>
      <c r="E12" s="93" t="s">
        <v>91</v>
      </c>
      <c r="F12" s="108" t="s">
        <v>389</v>
      </c>
    </row>
    <row r="13" spans="2:6" s="93" customFormat="1" x14ac:dyDescent="0.25">
      <c r="B13" s="105"/>
      <c r="C13" s="106"/>
      <c r="D13" s="109"/>
    </row>
    <row r="14" spans="2:6" s="93" customFormat="1" x14ac:dyDescent="0.25">
      <c r="B14" s="105" t="s">
        <v>68</v>
      </c>
      <c r="C14" s="106" t="s">
        <v>69</v>
      </c>
      <c r="D14" s="107">
        <v>1.23E-2</v>
      </c>
      <c r="E14" s="93" t="s">
        <v>91</v>
      </c>
      <c r="F14" s="108" t="s">
        <v>390</v>
      </c>
    </row>
    <row r="15" spans="2:6" s="93" customFormat="1" x14ac:dyDescent="0.25">
      <c r="B15" s="105"/>
      <c r="C15" s="106"/>
      <c r="D15" s="110"/>
    </row>
    <row r="16" spans="2:6" s="93" customFormat="1" x14ac:dyDescent="0.25">
      <c r="B16" s="105" t="s">
        <v>70</v>
      </c>
      <c r="C16" s="106" t="s">
        <v>71</v>
      </c>
      <c r="D16" s="107">
        <v>9.7000000000000003E-3</v>
      </c>
      <c r="E16" s="93" t="s">
        <v>91</v>
      </c>
      <c r="F16" s="108" t="s">
        <v>391</v>
      </c>
    </row>
    <row r="17" spans="2:6" s="93" customFormat="1" x14ac:dyDescent="0.25">
      <c r="B17" s="105"/>
      <c r="C17" s="106"/>
      <c r="D17" s="110"/>
    </row>
    <row r="18" spans="2:6" s="93" customFormat="1" x14ac:dyDescent="0.25">
      <c r="B18" s="111" t="s">
        <v>95</v>
      </c>
      <c r="C18" s="112" t="s">
        <v>96</v>
      </c>
      <c r="D18" s="113">
        <v>8.0000000000000002E-3</v>
      </c>
      <c r="E18" s="93" t="s">
        <v>92</v>
      </c>
      <c r="F18" s="114" t="s">
        <v>392</v>
      </c>
    </row>
    <row r="19" spans="2:6" s="93" customFormat="1" x14ac:dyDescent="0.25">
      <c r="B19" s="105"/>
      <c r="C19" s="106"/>
      <c r="D19" s="115"/>
    </row>
    <row r="20" spans="2:6" s="93" customFormat="1" x14ac:dyDescent="0.25">
      <c r="B20" s="105" t="s">
        <v>72</v>
      </c>
      <c r="C20" s="106" t="s">
        <v>72</v>
      </c>
      <c r="D20" s="115">
        <v>0.03</v>
      </c>
    </row>
    <row r="21" spans="2:6" s="93" customFormat="1" x14ac:dyDescent="0.25">
      <c r="B21" s="105" t="s">
        <v>73</v>
      </c>
      <c r="C21" s="106" t="s">
        <v>74</v>
      </c>
      <c r="D21" s="115">
        <v>0.02</v>
      </c>
      <c r="E21" s="116">
        <f>0.05*0.4</f>
        <v>2.0000000000000004E-2</v>
      </c>
    </row>
    <row r="22" spans="2:6" s="93" customFormat="1" x14ac:dyDescent="0.25">
      <c r="B22" s="105" t="s">
        <v>75</v>
      </c>
      <c r="C22" s="106" t="s">
        <v>75</v>
      </c>
      <c r="D22" s="115">
        <v>6.4999999999999997E-3</v>
      </c>
    </row>
    <row r="23" spans="2:6" s="93" customFormat="1" hidden="1" x14ac:dyDescent="0.25">
      <c r="B23" s="105" t="s">
        <v>76</v>
      </c>
      <c r="C23" s="106" t="s">
        <v>77</v>
      </c>
      <c r="D23" s="115"/>
      <c r="E23" s="93" t="s">
        <v>78</v>
      </c>
    </row>
    <row r="24" spans="2:6" s="93" customFormat="1" x14ac:dyDescent="0.25">
      <c r="B24" s="105" t="s">
        <v>89</v>
      </c>
      <c r="C24" s="106" t="s">
        <v>79</v>
      </c>
      <c r="D24" s="107">
        <f>SUM(D20:D23)</f>
        <v>5.6500000000000002E-2</v>
      </c>
    </row>
    <row r="25" spans="2:6" s="93" customFormat="1" x14ac:dyDescent="0.25">
      <c r="B25" s="105"/>
      <c r="C25" s="106"/>
      <c r="D25" s="115"/>
    </row>
    <row r="26" spans="2:6" s="93" customFormat="1" x14ac:dyDescent="0.25">
      <c r="B26" s="105" t="s">
        <v>80</v>
      </c>
      <c r="C26" s="106" t="s">
        <v>81</v>
      </c>
      <c r="D26" s="107">
        <v>6.1800000000000001E-2</v>
      </c>
      <c r="E26" s="93" t="s">
        <v>93</v>
      </c>
      <c r="F26" s="108" t="s">
        <v>393</v>
      </c>
    </row>
    <row r="27" spans="2:6" s="93" customFormat="1" x14ac:dyDescent="0.25">
      <c r="B27" s="103"/>
      <c r="C27" s="104"/>
      <c r="D27" s="117"/>
    </row>
    <row r="28" spans="2:6" s="93" customFormat="1" x14ac:dyDescent="0.25">
      <c r="B28" s="118" t="s">
        <v>82</v>
      </c>
      <c r="C28" s="119"/>
      <c r="D28" s="107">
        <f>ROUND((((1+D12+D18+D16)*(1+D14)*(1+D26))/(1-D24))-1,4)</f>
        <v>0.20499999999999999</v>
      </c>
      <c r="E28" s="120" t="s">
        <v>94</v>
      </c>
    </row>
    <row r="29" spans="2:6" s="93" customFormat="1" ht="12.75" x14ac:dyDescent="0.2">
      <c r="C29" s="94"/>
      <c r="D29" s="121"/>
      <c r="F29" s="108" t="s">
        <v>394</v>
      </c>
    </row>
    <row r="30" spans="2:6" s="93" customFormat="1" ht="12.75" x14ac:dyDescent="0.2">
      <c r="C30" s="94"/>
      <c r="D30" s="94"/>
    </row>
    <row r="31" spans="2:6" s="93" customFormat="1" ht="12.75" x14ac:dyDescent="0.2">
      <c r="C31" s="94"/>
      <c r="D31" s="94"/>
    </row>
    <row r="32" spans="2:6" s="93" customFormat="1" ht="15.75" x14ac:dyDescent="0.25">
      <c r="B32" s="122" t="s">
        <v>83</v>
      </c>
      <c r="C32" s="94"/>
      <c r="D32" s="94"/>
    </row>
    <row r="33" spans="2:6" x14ac:dyDescent="0.25">
      <c r="B33" s="123"/>
      <c r="C33" s="124"/>
      <c r="D33" s="125"/>
    </row>
    <row r="34" spans="2:6" x14ac:dyDescent="0.25">
      <c r="B34" s="126"/>
      <c r="D34" s="128"/>
    </row>
    <row r="35" spans="2:6" x14ac:dyDescent="0.25">
      <c r="B35" s="126"/>
      <c r="D35" s="128"/>
    </row>
    <row r="36" spans="2:6" x14ac:dyDescent="0.25">
      <c r="B36" s="126"/>
      <c r="D36" s="128"/>
    </row>
    <row r="37" spans="2:6" s="132" customFormat="1" x14ac:dyDescent="0.25">
      <c r="B37" s="129"/>
      <c r="C37" s="130"/>
      <c r="D37" s="131"/>
    </row>
    <row r="38" spans="2:6" s="132" customFormat="1" x14ac:dyDescent="0.25">
      <c r="B38" s="133"/>
      <c r="C38" s="134"/>
      <c r="D38" s="135"/>
    </row>
    <row r="39" spans="2:6" s="132" customFormat="1" x14ac:dyDescent="0.25">
      <c r="B39" s="136"/>
      <c r="C39" s="137"/>
      <c r="D39" s="137"/>
    </row>
    <row r="40" spans="2:6" s="132" customFormat="1" x14ac:dyDescent="0.25">
      <c r="B40" s="136" t="s">
        <v>84</v>
      </c>
      <c r="C40" s="137"/>
      <c r="D40" s="137"/>
    </row>
    <row r="41" spans="2:6" s="138" customFormat="1" x14ac:dyDescent="0.25">
      <c r="B41" s="451" t="s">
        <v>85</v>
      </c>
      <c r="C41" s="451"/>
      <c r="D41" s="451"/>
    </row>
    <row r="42" spans="2:6" s="138" customFormat="1" ht="66" customHeight="1" x14ac:dyDescent="0.25">
      <c r="B42" s="451" t="s">
        <v>284</v>
      </c>
      <c r="C42" s="451"/>
      <c r="D42" s="451"/>
    </row>
    <row r="43" spans="2:6" s="132" customFormat="1" ht="98.25" hidden="1" customHeight="1" x14ac:dyDescent="0.25">
      <c r="B43" s="452" t="s">
        <v>395</v>
      </c>
      <c r="C43" s="452"/>
      <c r="D43" s="452"/>
      <c r="F43" s="139" t="s">
        <v>86</v>
      </c>
    </row>
    <row r="46" spans="2:6" x14ac:dyDescent="0.25">
      <c r="B46" t="s">
        <v>87</v>
      </c>
    </row>
    <row r="47" spans="2:6" ht="135" customHeight="1" x14ac:dyDescent="0.25">
      <c r="B47" s="453" t="s">
        <v>396</v>
      </c>
      <c r="C47" s="454"/>
      <c r="D47" s="455"/>
    </row>
    <row r="59" spans="2:4" s="93" customFormat="1" ht="12.75" x14ac:dyDescent="0.2">
      <c r="C59" s="94"/>
      <c r="D59" s="94"/>
    </row>
    <row r="60" spans="2:4" s="93" customFormat="1" ht="12.75" x14ac:dyDescent="0.2">
      <c r="C60" s="94"/>
      <c r="D60" s="94"/>
    </row>
    <row r="61" spans="2:4" x14ac:dyDescent="0.25">
      <c r="B61" t="s">
        <v>88</v>
      </c>
    </row>
  </sheetData>
  <mergeCells count="9">
    <mergeCell ref="B41:D41"/>
    <mergeCell ref="B42:D42"/>
    <mergeCell ref="B43:D43"/>
    <mergeCell ref="B47:D47"/>
    <mergeCell ref="B2:D2"/>
    <mergeCell ref="B4:D4"/>
    <mergeCell ref="B6:D6"/>
    <mergeCell ref="B7:D7"/>
    <mergeCell ref="B8:D8"/>
  </mergeCells>
  <printOptions horizontalCentered="1"/>
  <pageMargins left="0.59055118110236227" right="0.59055118110236227" top="1.3779527559055118" bottom="0.78740157480314965" header="0.39370078740157483" footer="0.39370078740157483"/>
  <pageSetup paperSize="9" scale="88" orientation="portrait" horizontalDpi="300" verticalDpi="300" r:id="rId1"/>
  <headerFooter>
    <oddHeader>&amp;L&amp;G&amp;R&amp;G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Equation.3" shapeId="13313" r:id="rId5">
          <objectPr defaultSize="0" autoPict="0" r:id="rId6">
            <anchor moveWithCells="1" sizeWithCells="1">
              <from>
                <xdr:col>1</xdr:col>
                <xdr:colOff>19050</xdr:colOff>
                <xdr:row>32</xdr:row>
                <xdr:rowOff>152400</xdr:rowOff>
              </from>
              <to>
                <xdr:col>1</xdr:col>
                <xdr:colOff>4648200</xdr:colOff>
                <xdr:row>36</xdr:row>
                <xdr:rowOff>161925</xdr:rowOff>
              </to>
            </anchor>
          </objectPr>
        </oleObject>
      </mc:Choice>
      <mc:Fallback>
        <oleObject progId="Equation.3" shapeId="13313" r:id="rId5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DE589-AECE-480F-8E72-B2E9E2638B7C}">
  <dimension ref="A1:G50"/>
  <sheetViews>
    <sheetView view="pageBreakPreview" topLeftCell="A40" zoomScaleNormal="100" zoomScaleSheetLayoutView="100" workbookViewId="0">
      <selection activeCell="G53" sqref="G53"/>
    </sheetView>
  </sheetViews>
  <sheetFormatPr defaultRowHeight="15" x14ac:dyDescent="0.25"/>
  <cols>
    <col min="1" max="1" width="10.140625" customWidth="1"/>
    <col min="2" max="2" width="63" customWidth="1"/>
    <col min="3" max="5" width="0" hidden="1" customWidth="1"/>
    <col min="6" max="6" width="16.85546875" customWidth="1"/>
    <col min="7" max="7" width="19.7109375" customWidth="1"/>
  </cols>
  <sheetData>
    <row r="1" spans="1:7" ht="18" x14ac:dyDescent="0.25">
      <c r="A1" s="460" t="s">
        <v>863</v>
      </c>
      <c r="B1" s="461"/>
      <c r="C1" s="461"/>
      <c r="D1" s="461"/>
      <c r="E1" s="461"/>
      <c r="F1" s="461"/>
      <c r="G1" s="462"/>
    </row>
    <row r="2" spans="1:7" ht="18" x14ac:dyDescent="0.25">
      <c r="A2" s="463" t="s">
        <v>864</v>
      </c>
      <c r="B2" s="464"/>
      <c r="C2" s="464"/>
      <c r="D2" s="464"/>
      <c r="E2" s="464"/>
      <c r="F2" s="464"/>
      <c r="G2" s="465"/>
    </row>
    <row r="3" spans="1:7" ht="15.75" x14ac:dyDescent="0.25">
      <c r="A3" s="466"/>
      <c r="B3" s="467"/>
      <c r="C3" s="467"/>
      <c r="D3" s="467"/>
      <c r="E3" s="467"/>
      <c r="F3" s="467"/>
      <c r="G3" s="468"/>
    </row>
    <row r="4" spans="1:7" ht="15.75" x14ac:dyDescent="0.25">
      <c r="A4" s="338"/>
      <c r="B4" s="338"/>
      <c r="C4" s="339"/>
      <c r="D4" s="339"/>
      <c r="E4" s="340"/>
      <c r="F4" s="340"/>
      <c r="G4" s="340"/>
    </row>
    <row r="5" spans="1:7" ht="16.5" x14ac:dyDescent="0.3">
      <c r="A5" s="341" t="str">
        <f>Orçamento!A3</f>
        <v>OBRA: AMPLIAÇÃO DA ESCOLA MUNICIPAL EPAMINONDAS MENDONÇA - ITEM 02</v>
      </c>
      <c r="B5" s="342"/>
      <c r="C5" s="343"/>
      <c r="D5" s="343"/>
      <c r="E5" s="344"/>
      <c r="F5" s="344"/>
      <c r="G5" s="344"/>
    </row>
    <row r="6" spans="1:7" ht="16.5" x14ac:dyDescent="0.3">
      <c r="A6" s="341" t="str">
        <f>Orçamento!A4</f>
        <v>LOCAL: DISTRITO FAZENDA NOVA- BREJO MADRE DE DEUS/PE.</v>
      </c>
      <c r="B6" s="342"/>
      <c r="C6" s="343"/>
      <c r="D6" s="343"/>
      <c r="E6" s="344"/>
      <c r="F6" s="344"/>
      <c r="G6" s="344"/>
    </row>
    <row r="7" spans="1:7" ht="16.5" x14ac:dyDescent="0.3">
      <c r="A7" s="341" t="str">
        <f>Orçamento!A6</f>
        <v>DATA BASE: AGOSTO/2024</v>
      </c>
      <c r="B7" s="342"/>
      <c r="C7" s="343"/>
      <c r="D7" s="343"/>
      <c r="E7" s="344"/>
      <c r="F7" s="344"/>
      <c r="G7" s="344"/>
    </row>
    <row r="8" spans="1:7" ht="16.5" x14ac:dyDescent="0.3">
      <c r="A8" s="341"/>
      <c r="B8" s="342"/>
      <c r="C8" s="342"/>
      <c r="D8" s="342"/>
      <c r="E8" s="342"/>
      <c r="F8" s="345"/>
      <c r="G8" s="345"/>
    </row>
    <row r="9" spans="1:7" ht="16.5" x14ac:dyDescent="0.3">
      <c r="A9" s="469" t="s">
        <v>18</v>
      </c>
      <c r="B9" s="469" t="s">
        <v>2</v>
      </c>
      <c r="C9" s="471" t="s">
        <v>865</v>
      </c>
      <c r="D9" s="472"/>
      <c r="E9" s="346"/>
      <c r="F9" s="471" t="s">
        <v>866</v>
      </c>
      <c r="G9" s="472"/>
    </row>
    <row r="10" spans="1:7" ht="33" x14ac:dyDescent="0.3">
      <c r="A10" s="470"/>
      <c r="B10" s="470"/>
      <c r="C10" s="347" t="s">
        <v>867</v>
      </c>
      <c r="D10" s="347" t="s">
        <v>868</v>
      </c>
      <c r="E10" s="348"/>
      <c r="F10" s="347" t="s">
        <v>867</v>
      </c>
      <c r="G10" s="347" t="s">
        <v>868</v>
      </c>
    </row>
    <row r="11" spans="1:7" x14ac:dyDescent="0.25">
      <c r="A11" s="349"/>
      <c r="B11" s="350"/>
      <c r="C11" s="349"/>
      <c r="D11" s="350"/>
      <c r="E11" s="351"/>
      <c r="F11" s="350"/>
      <c r="G11" s="350"/>
    </row>
    <row r="12" spans="1:7" ht="16.5" x14ac:dyDescent="0.3">
      <c r="A12" s="473" t="s">
        <v>869</v>
      </c>
      <c r="B12" s="474"/>
      <c r="C12" s="474"/>
      <c r="D12" s="475"/>
      <c r="E12" s="352"/>
      <c r="F12" s="353"/>
      <c r="G12" s="354"/>
    </row>
    <row r="13" spans="1:7" ht="16.5" x14ac:dyDescent="0.3">
      <c r="A13" s="355" t="s">
        <v>834</v>
      </c>
      <c r="B13" s="356" t="s">
        <v>870</v>
      </c>
      <c r="C13" s="357">
        <v>0</v>
      </c>
      <c r="D13" s="357">
        <v>0</v>
      </c>
      <c r="E13" s="358"/>
      <c r="F13" s="357">
        <v>20</v>
      </c>
      <c r="G13" s="357">
        <v>20</v>
      </c>
    </row>
    <row r="14" spans="1:7" ht="16.5" x14ac:dyDescent="0.3">
      <c r="A14" s="355" t="s">
        <v>835</v>
      </c>
      <c r="B14" s="356" t="s">
        <v>871</v>
      </c>
      <c r="C14" s="357">
        <v>1.5</v>
      </c>
      <c r="D14" s="357">
        <v>1.5</v>
      </c>
      <c r="E14" s="358"/>
      <c r="F14" s="357">
        <v>1.5</v>
      </c>
      <c r="G14" s="357">
        <v>1.5</v>
      </c>
    </row>
    <row r="15" spans="1:7" ht="16.5" x14ac:dyDescent="0.3">
      <c r="A15" s="355" t="s">
        <v>872</v>
      </c>
      <c r="B15" s="356" t="s">
        <v>873</v>
      </c>
      <c r="C15" s="357">
        <v>1</v>
      </c>
      <c r="D15" s="357">
        <v>1</v>
      </c>
      <c r="E15" s="358"/>
      <c r="F15" s="357">
        <v>1</v>
      </c>
      <c r="G15" s="357">
        <v>1</v>
      </c>
    </row>
    <row r="16" spans="1:7" ht="16.5" x14ac:dyDescent="0.3">
      <c r="A16" s="355" t="s">
        <v>874</v>
      </c>
      <c r="B16" s="356" t="s">
        <v>875</v>
      </c>
      <c r="C16" s="357">
        <v>0.2</v>
      </c>
      <c r="D16" s="357">
        <v>0.2</v>
      </c>
      <c r="E16" s="358"/>
      <c r="F16" s="357">
        <v>0.2</v>
      </c>
      <c r="G16" s="357">
        <v>0.2</v>
      </c>
    </row>
    <row r="17" spans="1:7" ht="16.5" x14ac:dyDescent="0.3">
      <c r="A17" s="355" t="s">
        <v>876</v>
      </c>
      <c r="B17" s="356" t="s">
        <v>877</v>
      </c>
      <c r="C17" s="357">
        <v>0.6</v>
      </c>
      <c r="D17" s="357">
        <v>0.6</v>
      </c>
      <c r="E17" s="358"/>
      <c r="F17" s="357">
        <v>0.6</v>
      </c>
      <c r="G17" s="357">
        <v>0.6</v>
      </c>
    </row>
    <row r="18" spans="1:7" ht="16.5" x14ac:dyDescent="0.3">
      <c r="A18" s="355" t="s">
        <v>878</v>
      </c>
      <c r="B18" s="356" t="s">
        <v>879</v>
      </c>
      <c r="C18" s="357">
        <v>2.5</v>
      </c>
      <c r="D18" s="357">
        <v>2.5</v>
      </c>
      <c r="E18" s="358"/>
      <c r="F18" s="357">
        <v>2.5</v>
      </c>
      <c r="G18" s="357">
        <v>2.5</v>
      </c>
    </row>
    <row r="19" spans="1:7" ht="16.5" x14ac:dyDescent="0.3">
      <c r="A19" s="355" t="s">
        <v>880</v>
      </c>
      <c r="B19" s="356" t="s">
        <v>881</v>
      </c>
      <c r="C19" s="357">
        <v>3</v>
      </c>
      <c r="D19" s="357">
        <v>3</v>
      </c>
      <c r="E19" s="358"/>
      <c r="F19" s="357">
        <v>3</v>
      </c>
      <c r="G19" s="357">
        <v>3</v>
      </c>
    </row>
    <row r="20" spans="1:7" ht="16.5" x14ac:dyDescent="0.3">
      <c r="A20" s="355" t="s">
        <v>882</v>
      </c>
      <c r="B20" s="356" t="s">
        <v>883</v>
      </c>
      <c r="C20" s="357">
        <v>8</v>
      </c>
      <c r="D20" s="357">
        <v>8</v>
      </c>
      <c r="E20" s="358"/>
      <c r="F20" s="357">
        <v>8</v>
      </c>
      <c r="G20" s="357">
        <v>8</v>
      </c>
    </row>
    <row r="21" spans="1:7" ht="16.5" x14ac:dyDescent="0.3">
      <c r="A21" s="355" t="s">
        <v>884</v>
      </c>
      <c r="B21" s="356" t="s">
        <v>885</v>
      </c>
      <c r="C21" s="357">
        <v>0</v>
      </c>
      <c r="D21" s="357">
        <v>0</v>
      </c>
      <c r="E21" s="358"/>
      <c r="F21" s="357">
        <v>0</v>
      </c>
      <c r="G21" s="357">
        <v>0</v>
      </c>
    </row>
    <row r="22" spans="1:7" ht="16.5" x14ac:dyDescent="0.3">
      <c r="A22" s="359" t="s">
        <v>886</v>
      </c>
      <c r="B22" s="359" t="s">
        <v>7</v>
      </c>
      <c r="C22" s="360">
        <f>SUM(C13:C21)</f>
        <v>16.8</v>
      </c>
      <c r="D22" s="360">
        <f>SUM(D13:D21)</f>
        <v>16.8</v>
      </c>
      <c r="E22" s="361"/>
      <c r="F22" s="360">
        <f>SUM(F13:F21)</f>
        <v>36.799999999999997</v>
      </c>
      <c r="G22" s="360">
        <f>SUM(G13:G21)</f>
        <v>36.799999999999997</v>
      </c>
    </row>
    <row r="23" spans="1:7" x14ac:dyDescent="0.25">
      <c r="A23" s="355"/>
      <c r="B23" s="356"/>
      <c r="C23" s="357"/>
      <c r="D23" s="357"/>
      <c r="E23" s="362"/>
      <c r="F23" s="357"/>
      <c r="G23" s="357"/>
    </row>
    <row r="24" spans="1:7" ht="16.5" x14ac:dyDescent="0.3">
      <c r="A24" s="473" t="s">
        <v>887</v>
      </c>
      <c r="B24" s="474"/>
      <c r="C24" s="474"/>
      <c r="D24" s="475"/>
      <c r="E24" s="352"/>
      <c r="F24" s="353"/>
      <c r="G24" s="354"/>
    </row>
    <row r="25" spans="1:7" ht="16.5" x14ac:dyDescent="0.3">
      <c r="A25" s="355" t="s">
        <v>888</v>
      </c>
      <c r="B25" s="356" t="s">
        <v>889</v>
      </c>
      <c r="C25" s="357">
        <v>18.059999999999999</v>
      </c>
      <c r="D25" s="357">
        <v>0</v>
      </c>
      <c r="E25" s="358"/>
      <c r="F25" s="357">
        <v>18.059999999999999</v>
      </c>
      <c r="G25" s="357">
        <v>0</v>
      </c>
    </row>
    <row r="26" spans="1:7" ht="16.5" x14ac:dyDescent="0.3">
      <c r="A26" s="355" t="s">
        <v>890</v>
      </c>
      <c r="B26" s="356" t="s">
        <v>891</v>
      </c>
      <c r="C26" s="357">
        <v>4.33</v>
      </c>
      <c r="D26" s="357">
        <v>0</v>
      </c>
      <c r="E26" s="358"/>
      <c r="F26" s="357">
        <v>4.33</v>
      </c>
      <c r="G26" s="357">
        <v>0</v>
      </c>
    </row>
    <row r="27" spans="1:7" ht="16.5" x14ac:dyDescent="0.3">
      <c r="A27" s="355" t="s">
        <v>892</v>
      </c>
      <c r="B27" s="356" t="s">
        <v>893</v>
      </c>
      <c r="C27" s="357">
        <v>0.87</v>
      </c>
      <c r="D27" s="357">
        <v>0.66</v>
      </c>
      <c r="E27" s="358"/>
      <c r="F27" s="357">
        <v>0.87</v>
      </c>
      <c r="G27" s="357">
        <v>0.66</v>
      </c>
    </row>
    <row r="28" spans="1:7" ht="16.5" x14ac:dyDescent="0.3">
      <c r="A28" s="355" t="s">
        <v>894</v>
      </c>
      <c r="B28" s="356" t="s">
        <v>895</v>
      </c>
      <c r="C28" s="357">
        <v>11.01</v>
      </c>
      <c r="D28" s="357">
        <v>8.33</v>
      </c>
      <c r="E28" s="358"/>
      <c r="F28" s="357">
        <v>11.01</v>
      </c>
      <c r="G28" s="357">
        <v>8.33</v>
      </c>
    </row>
    <row r="29" spans="1:7" ht="16.5" x14ac:dyDescent="0.3">
      <c r="A29" s="355" t="s">
        <v>896</v>
      </c>
      <c r="B29" s="356" t="s">
        <v>897</v>
      </c>
      <c r="C29" s="357">
        <v>7.0000000000000007E-2</v>
      </c>
      <c r="D29" s="357">
        <v>0.05</v>
      </c>
      <c r="E29" s="358"/>
      <c r="F29" s="357">
        <v>7.0000000000000007E-2</v>
      </c>
      <c r="G29" s="357">
        <v>0.05</v>
      </c>
    </row>
    <row r="30" spans="1:7" ht="16.5" x14ac:dyDescent="0.3">
      <c r="A30" s="355" t="s">
        <v>898</v>
      </c>
      <c r="B30" s="356" t="s">
        <v>899</v>
      </c>
      <c r="C30" s="357">
        <v>0.73</v>
      </c>
      <c r="D30" s="357">
        <v>0.56000000000000005</v>
      </c>
      <c r="E30" s="358"/>
      <c r="F30" s="357">
        <v>0.73</v>
      </c>
      <c r="G30" s="357">
        <v>0.56000000000000005</v>
      </c>
    </row>
    <row r="31" spans="1:7" ht="16.5" x14ac:dyDescent="0.3">
      <c r="A31" s="355" t="s">
        <v>900</v>
      </c>
      <c r="B31" s="356" t="s">
        <v>901</v>
      </c>
      <c r="C31" s="357">
        <v>2.2400000000000002</v>
      </c>
      <c r="D31" s="357">
        <v>0</v>
      </c>
      <c r="E31" s="358"/>
      <c r="F31" s="357">
        <v>2.2400000000000002</v>
      </c>
      <c r="G31" s="357">
        <v>0</v>
      </c>
    </row>
    <row r="32" spans="1:7" ht="16.5" x14ac:dyDescent="0.3">
      <c r="A32" s="355" t="s">
        <v>902</v>
      </c>
      <c r="B32" s="356" t="s">
        <v>903</v>
      </c>
      <c r="C32" s="357">
        <v>0.11</v>
      </c>
      <c r="D32" s="357">
        <v>0.08</v>
      </c>
      <c r="E32" s="358"/>
      <c r="F32" s="357">
        <v>0.11</v>
      </c>
      <c r="G32" s="357">
        <v>0.08</v>
      </c>
    </row>
    <row r="33" spans="1:7" ht="16.5" x14ac:dyDescent="0.3">
      <c r="A33" s="355" t="s">
        <v>904</v>
      </c>
      <c r="B33" s="356" t="s">
        <v>905</v>
      </c>
      <c r="C33" s="357">
        <v>10.11</v>
      </c>
      <c r="D33" s="357">
        <v>7.66</v>
      </c>
      <c r="E33" s="358"/>
      <c r="F33" s="357">
        <v>10.11</v>
      </c>
      <c r="G33" s="357">
        <v>7.66</v>
      </c>
    </row>
    <row r="34" spans="1:7" ht="16.5" x14ac:dyDescent="0.3">
      <c r="A34" s="355" t="s">
        <v>906</v>
      </c>
      <c r="B34" s="356" t="s">
        <v>907</v>
      </c>
      <c r="C34" s="357">
        <v>0.04</v>
      </c>
      <c r="D34" s="357">
        <v>0.03</v>
      </c>
      <c r="E34" s="358"/>
      <c r="F34" s="357">
        <v>0.04</v>
      </c>
      <c r="G34" s="357">
        <v>0.03</v>
      </c>
    </row>
    <row r="35" spans="1:7" ht="16.5" x14ac:dyDescent="0.3">
      <c r="A35" s="359" t="s">
        <v>102</v>
      </c>
      <c r="B35" s="359" t="s">
        <v>7</v>
      </c>
      <c r="C35" s="360">
        <f>SUM(C25:C34)</f>
        <v>47.57</v>
      </c>
      <c r="D35" s="360">
        <f>SUM(D25:D34)</f>
        <v>17.370000000000005</v>
      </c>
      <c r="E35" s="361"/>
      <c r="F35" s="360">
        <f>SUM(F25:F34)</f>
        <v>47.57</v>
      </c>
      <c r="G35" s="360">
        <f>SUM(G25:G34)</f>
        <v>17.370000000000005</v>
      </c>
    </row>
    <row r="36" spans="1:7" x14ac:dyDescent="0.25">
      <c r="A36" s="355"/>
      <c r="B36" s="356"/>
      <c r="C36" s="357"/>
      <c r="D36" s="357"/>
      <c r="E36" s="362"/>
      <c r="F36" s="357"/>
      <c r="G36" s="357"/>
    </row>
    <row r="37" spans="1:7" ht="16.5" x14ac:dyDescent="0.3">
      <c r="A37" s="473" t="s">
        <v>908</v>
      </c>
      <c r="B37" s="474"/>
      <c r="C37" s="474"/>
      <c r="D37" s="475"/>
      <c r="E37" s="352"/>
      <c r="F37" s="353"/>
      <c r="G37" s="354"/>
    </row>
    <row r="38" spans="1:7" ht="16.5" x14ac:dyDescent="0.3">
      <c r="A38" s="355" t="s">
        <v>832</v>
      </c>
      <c r="B38" s="356" t="s">
        <v>909</v>
      </c>
      <c r="C38" s="357">
        <v>5.23</v>
      </c>
      <c r="D38" s="357">
        <v>3.91</v>
      </c>
      <c r="E38" s="358"/>
      <c r="F38" s="357">
        <v>5.3</v>
      </c>
      <c r="G38" s="357">
        <v>3.95</v>
      </c>
    </row>
    <row r="39" spans="1:7" ht="16.5" x14ac:dyDescent="0.3">
      <c r="A39" s="355" t="s">
        <v>833</v>
      </c>
      <c r="B39" s="356" t="s">
        <v>910</v>
      </c>
      <c r="C39" s="357">
        <v>0.11</v>
      </c>
      <c r="D39" s="357">
        <v>0.09</v>
      </c>
      <c r="E39" s="358"/>
      <c r="F39" s="357">
        <v>0.11</v>
      </c>
      <c r="G39" s="357">
        <v>0.09</v>
      </c>
    </row>
    <row r="40" spans="1:7" ht="16.5" x14ac:dyDescent="0.3">
      <c r="A40" s="355" t="s">
        <v>911</v>
      </c>
      <c r="B40" s="356" t="s">
        <v>912</v>
      </c>
      <c r="C40" s="357">
        <v>2.78</v>
      </c>
      <c r="D40" s="357">
        <v>2.38</v>
      </c>
      <c r="E40" s="358"/>
      <c r="F40" s="357">
        <v>2.8</v>
      </c>
      <c r="G40" s="357">
        <v>2.44</v>
      </c>
    </row>
    <row r="41" spans="1:7" ht="16.5" x14ac:dyDescent="0.3">
      <c r="A41" s="355" t="s">
        <v>913</v>
      </c>
      <c r="B41" s="356" t="s">
        <v>914</v>
      </c>
      <c r="C41" s="357">
        <v>3.03</v>
      </c>
      <c r="D41" s="357">
        <v>2.2999999999999998</v>
      </c>
      <c r="E41" s="358"/>
      <c r="F41" s="357">
        <v>3.03</v>
      </c>
      <c r="G41" s="357">
        <v>2.2999999999999998</v>
      </c>
    </row>
    <row r="42" spans="1:7" ht="16.5" x14ac:dyDescent="0.3">
      <c r="A42" s="355" t="s">
        <v>915</v>
      </c>
      <c r="B42" s="356" t="s">
        <v>916</v>
      </c>
      <c r="C42" s="357">
        <v>0.4</v>
      </c>
      <c r="D42" s="357">
        <v>0.31</v>
      </c>
      <c r="E42" s="358"/>
      <c r="F42" s="357">
        <v>0.4</v>
      </c>
      <c r="G42" s="357">
        <v>0.31</v>
      </c>
    </row>
    <row r="43" spans="1:7" ht="16.5" x14ac:dyDescent="0.3">
      <c r="A43" s="359" t="s">
        <v>917</v>
      </c>
      <c r="B43" s="359" t="s">
        <v>7</v>
      </c>
      <c r="C43" s="360">
        <f>SUM(C38:C42)</f>
        <v>11.55</v>
      </c>
      <c r="D43" s="360">
        <f>SUM(D38:D42)</f>
        <v>8.99</v>
      </c>
      <c r="E43" s="361"/>
      <c r="F43" s="360">
        <f>SUM(F38:F42)</f>
        <v>11.64</v>
      </c>
      <c r="G43" s="360">
        <f>SUM(G38:G42)</f>
        <v>9.0900000000000016</v>
      </c>
    </row>
    <row r="44" spans="1:7" x14ac:dyDescent="0.25">
      <c r="A44" s="355"/>
      <c r="B44" s="356"/>
      <c r="C44" s="357"/>
      <c r="D44" s="357"/>
      <c r="E44" s="362"/>
      <c r="F44" s="357"/>
      <c r="G44" s="357"/>
    </row>
    <row r="45" spans="1:7" ht="16.5" x14ac:dyDescent="0.3">
      <c r="A45" s="473" t="s">
        <v>918</v>
      </c>
      <c r="B45" s="474"/>
      <c r="C45" s="474"/>
      <c r="D45" s="475"/>
      <c r="E45" s="352"/>
      <c r="F45" s="353"/>
      <c r="G45" s="354"/>
    </row>
    <row r="46" spans="1:7" ht="16.5" x14ac:dyDescent="0.3">
      <c r="A46" s="355" t="s">
        <v>919</v>
      </c>
      <c r="B46" s="356" t="s">
        <v>920</v>
      </c>
      <c r="C46" s="357">
        <f>ROUND((C22*C35)/100,2)</f>
        <v>7.99</v>
      </c>
      <c r="D46" s="357">
        <f>ROUND((D22*D35)/100,2)</f>
        <v>2.92</v>
      </c>
      <c r="E46" s="358"/>
      <c r="F46" s="357">
        <f>ROUND((F22*F35)/100,2)</f>
        <v>17.510000000000002</v>
      </c>
      <c r="G46" s="357">
        <f>ROUND((G22*G35)/100,2)</f>
        <v>6.39</v>
      </c>
    </row>
    <row r="47" spans="1:7" ht="27" x14ac:dyDescent="0.3">
      <c r="A47" s="355" t="s">
        <v>921</v>
      </c>
      <c r="B47" s="363" t="s">
        <v>922</v>
      </c>
      <c r="C47" s="357">
        <f>ROUND(((C22*C39)/100)+((C20*C38)/100),2)</f>
        <v>0.44</v>
      </c>
      <c r="D47" s="357">
        <f>ROUND(((D22*D39)/100)+((D20*D38)/100),2)</f>
        <v>0.33</v>
      </c>
      <c r="E47" s="358"/>
      <c r="F47" s="357">
        <f>ROUND(((F22*F39)/100)+((F20*F38)/100),2)</f>
        <v>0.46</v>
      </c>
      <c r="G47" s="357">
        <f>ROUND(((G22*G39)/100)+((G20*G38)/100),2)</f>
        <v>0.35</v>
      </c>
    </row>
    <row r="48" spans="1:7" ht="16.5" x14ac:dyDescent="0.3">
      <c r="A48" s="359" t="s">
        <v>923</v>
      </c>
      <c r="B48" s="359" t="s">
        <v>7</v>
      </c>
      <c r="C48" s="360">
        <f>SUM(C46:C47)</f>
        <v>8.43</v>
      </c>
      <c r="D48" s="360">
        <f>SUM(D46:D47)</f>
        <v>3.25</v>
      </c>
      <c r="E48" s="361"/>
      <c r="F48" s="360">
        <f>SUM(F46:F47)</f>
        <v>17.970000000000002</v>
      </c>
      <c r="G48" s="360">
        <f>SUM(G46:G47)</f>
        <v>6.7399999999999993</v>
      </c>
    </row>
    <row r="49" spans="1:7" x14ac:dyDescent="0.25">
      <c r="A49" s="355"/>
      <c r="B49" s="356"/>
      <c r="C49" s="357"/>
      <c r="D49" s="357"/>
      <c r="E49" s="362"/>
      <c r="F49" s="357"/>
      <c r="G49" s="357"/>
    </row>
    <row r="50" spans="1:7" ht="17.25" x14ac:dyDescent="0.3">
      <c r="A50" s="476" t="s">
        <v>924</v>
      </c>
      <c r="B50" s="477"/>
      <c r="C50" s="364">
        <f>C22+C35+C43+C48</f>
        <v>84.35</v>
      </c>
      <c r="D50" s="364">
        <f>D22+D35+D43+D48</f>
        <v>46.410000000000004</v>
      </c>
      <c r="E50" s="365"/>
      <c r="F50" s="366">
        <f>F22+F35+F43+F48</f>
        <v>113.98</v>
      </c>
      <c r="G50" s="366">
        <f>G22+G35+G43+G48</f>
        <v>70</v>
      </c>
    </row>
  </sheetData>
  <mergeCells count="12">
    <mergeCell ref="A12:D12"/>
    <mergeCell ref="A24:D24"/>
    <mergeCell ref="A37:D37"/>
    <mergeCell ref="A45:D45"/>
    <mergeCell ref="A50:B50"/>
    <mergeCell ref="A1:G1"/>
    <mergeCell ref="A2:G2"/>
    <mergeCell ref="A3:G3"/>
    <mergeCell ref="A9:A10"/>
    <mergeCell ref="B9:B10"/>
    <mergeCell ref="C9:D9"/>
    <mergeCell ref="F9:G9"/>
  </mergeCells>
  <pageMargins left="0.51181102362204722" right="0.51181102362204722" top="1.3779527559055118" bottom="0.78740157480314965" header="0.31496062992125984" footer="0.31496062992125984"/>
  <pageSetup paperSize="9" scale="84" orientation="portrait" horizontalDpi="4294967292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10</vt:i4>
      </vt:variant>
    </vt:vector>
  </HeadingPairs>
  <TitlesOfParts>
    <vt:vector size="16" baseType="lpstr">
      <vt:lpstr>Orçamento</vt:lpstr>
      <vt:lpstr>MC</vt:lpstr>
      <vt:lpstr>CRONOGRAMA</vt:lpstr>
      <vt:lpstr>COMPOSIÇÕES</vt:lpstr>
      <vt:lpstr>COMP_BDI_EDIFICACOES</vt:lpstr>
      <vt:lpstr>Composição de encargos</vt:lpstr>
      <vt:lpstr>COMP_BDI_EDIFICACOES!Area_de_impressao</vt:lpstr>
      <vt:lpstr>COMPOSIÇÕES!Area_de_impressao</vt:lpstr>
      <vt:lpstr>CRONOGRAMA!Area_de_impressao</vt:lpstr>
      <vt:lpstr>MC!Area_de_impressao</vt:lpstr>
      <vt:lpstr>Orçamento!Area_de_impressao</vt:lpstr>
      <vt:lpstr>BDI_EDIF_com_Desoneracao</vt:lpstr>
      <vt:lpstr>COMPOSIÇÕES!Titulos_de_impressao</vt:lpstr>
      <vt:lpstr>CRONOGRAMA!Titulos_de_impressao</vt:lpstr>
      <vt:lpstr>MC!Titulos_de_impressao</vt:lpstr>
      <vt:lpstr>Orçamento!Titulos_de_impressao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2024-10-22T15:29:19Z</dcterms:modified>
</cp:coreProperties>
</file>