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01787091-8DFF-4ACC-B209-AC7E884A9F11}" xr6:coauthVersionLast="47" xr6:coauthVersionMax="47" xr10:uidLastSave="{00000000-0000-0000-0000-000000000000}"/>
  <bookViews>
    <workbookView xWindow="-120" yWindow="-120" windowWidth="20730" windowHeight="11160" tabRatio="908" activeTab="4" xr2:uid="{00000000-000D-0000-FFFF-FFFF00000000}"/>
  </bookViews>
  <sheets>
    <sheet name="Orçamento" sheetId="56" r:id="rId1"/>
    <sheet name="MC" sheetId="55" state="hidden" r:id="rId2"/>
    <sheet name="COMPOSIÇÕES" sheetId="41" r:id="rId3"/>
    <sheet name="CRONOGRAMA" sheetId="8" r:id="rId4"/>
    <sheet name="Composição de encargos" sheetId="59" r:id="rId5"/>
    <sheet name="COMP_BDI_EDIFICACOES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hidden="1">#REF!</definedName>
    <definedName name="__123Graph_B" localSheetId="2" hidden="1">#REF!</definedName>
    <definedName name="__123Graph_B" hidden="1">#REF!</definedName>
    <definedName name="__123Graph_C" localSheetId="2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hidden="1">#REF!</definedName>
    <definedName name="_BSADJ" localSheetId="2">#REF!</definedName>
    <definedName name="_BSADJ">#REF!</definedName>
    <definedName name="_BSTGT" localSheetId="2">#REF!</definedName>
    <definedName name="_BSTGT">#REF!</definedName>
    <definedName name="_xlnm._FilterDatabase" localSheetId="1" hidden="1">MC!$A$12:$H$651</definedName>
    <definedName name="_xlnm._FilterDatabase" localSheetId="0" hidden="1">Orçamento!$A$9:$I$79</definedName>
    <definedName name="_IND1" localSheetId="2">#REF!</definedName>
    <definedName name="_IND1">#REF!</definedName>
    <definedName name="_IND2" localSheetId="2">#REF!</definedName>
    <definedName name="_IND2">#REF!</definedName>
    <definedName name="_MM" localSheetId="2" hidden="1">#REF!</definedName>
    <definedName name="_MM" hidden="1">#REF!</definedName>
    <definedName name="a" localSheetId="2">#REF!</definedName>
    <definedName name="a">#REF!</definedName>
    <definedName name="acha.coluna" localSheetId="2">#REF!</definedName>
    <definedName name="acha.coluna">#REF!</definedName>
    <definedName name="acha.dados" localSheetId="2">#REF!</definedName>
    <definedName name="acha.dados">#REF!</definedName>
    <definedName name="acha.dados2" localSheetId="2">#REF!</definedName>
    <definedName name="acha.dados2">#REF!</definedName>
    <definedName name="acha.linha" localSheetId="2">#REF!</definedName>
    <definedName name="acha.linha">#REF!</definedName>
    <definedName name="acha.linha2" localSheetId="2">#REF!</definedName>
    <definedName name="acha.linha2">#REF!</definedName>
    <definedName name="_xlnm.Print_Area" localSheetId="5">COMP_BDI_EDIFICACOES!$B$2:$D$44</definedName>
    <definedName name="_xlnm.Print_Area" localSheetId="2">COMPOSIÇÕES!$A$1:$I$92</definedName>
    <definedName name="_xlnm.Print_Area" localSheetId="3">CRONOGRAMA!$A$1:$G$58</definedName>
    <definedName name="_xlnm.Print_Area" localSheetId="1">MC!$A$1:$H$651</definedName>
    <definedName name="_xlnm.Print_Area" localSheetId="0">Orçamento!$A$1:$I$79</definedName>
    <definedName name="Área_impressão_IM" localSheetId="2">#REF!</definedName>
    <definedName name="Área_impressão_IM">#REF!</definedName>
    <definedName name="Área_impressão_IM2" localSheetId="2">#REF!</definedName>
    <definedName name="Área_impressão_IM2">#REF!</definedName>
    <definedName name="AreaTeste" localSheetId="2">#REF!</definedName>
    <definedName name="AreaTeste">#REF!</definedName>
    <definedName name="AreaTeste2" localSheetId="2">#REF!</definedName>
    <definedName name="AreaTeste2">#REF!</definedName>
    <definedName name="ATUALIZANDO">#REF!</definedName>
    <definedName name="_xlnm.Database" localSheetId="2">#REF!</definedName>
    <definedName name="_xlnm.Database">#REF!</definedName>
    <definedName name="bdi" localSheetId="2">#REF!</definedName>
    <definedName name="bdi">#REF!</definedName>
    <definedName name="BDI_EDIF_com_Desoneracao">COMP_BDI_EDIFICACOES!$D$28</definedName>
    <definedName name="BDI_EDIF_sem_Desoneracao">#REF!</definedName>
    <definedName name="BDIlds">'[2]LIGAÇÕES DOMICILIARES (SER)'!$K$13</definedName>
    <definedName name="BDIm" localSheetId="2">#REF!</definedName>
    <definedName name="BDIm">#REF!</definedName>
    <definedName name="BDIs">[3]Serv!$I$11</definedName>
    <definedName name="cb" localSheetId="2">#REF!</definedName>
    <definedName name="cb">#REF!</definedName>
    <definedName name="ccc" localSheetId="2">#REF!</definedName>
    <definedName name="ccc">#REF!</definedName>
    <definedName name="CélulaInicioPlanilha" localSheetId="2">#REF!</definedName>
    <definedName name="CélulaInicioPlanilha">#REF!</definedName>
    <definedName name="CélulaResumo" localSheetId="2">#REF!</definedName>
    <definedName name="CélulaResumo">#REF!</definedName>
    <definedName name="cer" localSheetId="2">#REF!</definedName>
    <definedName name="cer">#REF!</definedName>
    <definedName name="_xlnm.Criteria" localSheetId="2">#REF!</definedName>
    <definedName name="_xlnm.Criteria">#REF!</definedName>
    <definedName name="CRITERIOS2" localSheetId="2">#REF!</definedName>
    <definedName name="CRITERIOS2">#REF!</definedName>
    <definedName name="dssds" localSheetId="2">#REF!</definedName>
    <definedName name="dssds">#REF!</definedName>
    <definedName name="EMPRESAS">OFFSET([4]COTAÇÕES!$C$26,1,0):OFFSET([4]COTAÇÕES!$I$42,-1,0)</definedName>
    <definedName name="Exist" localSheetId="2">#REF!</definedName>
    <definedName name="Exist">#REF!</definedName>
    <definedName name="F" localSheetId="2" hidden="1">#REF!</definedName>
    <definedName name="F" hidden="1">#REF!</definedName>
    <definedName name="fdfd" localSheetId="2">#REF!</definedName>
    <definedName name="fdfd">#REF!</definedName>
    <definedName name="g" localSheetId="2" hidden="1">#REF!</definedName>
    <definedName name="g" hidden="1">#REF!</definedName>
    <definedName name="h" localSheetId="2" hidden="1">#REF!</definedName>
    <definedName name="h" hidden="1">#REF!</definedName>
    <definedName name="I" localSheetId="2" hidden="1">[5]Poço!#REF!</definedName>
    <definedName name="I" hidden="1">[5]Poço!#REF!</definedName>
    <definedName name="INCC">[3]Mat!$J$9</definedName>
    <definedName name="INCC1">[3]Serv!$I$10</definedName>
    <definedName name="INDICES">OFFSET([4]COTAÇÕES!$C$21,1,0):OFFSET([4]COTAÇÕES!$J$25,-1,0)</definedName>
    <definedName name="j" localSheetId="2">#REF!</definedName>
    <definedName name="j">#REF!</definedName>
    <definedName name="jfhdskjg" localSheetId="2">#REF!</definedName>
    <definedName name="jfhdskjg">#REF!</definedName>
    <definedName name="K" localSheetId="2">#REF!</definedName>
    <definedName name="K">#REF!</definedName>
    <definedName name="kapa">[6]resumo!$D$2</definedName>
    <definedName name="KAPA1" localSheetId="2">#REF!</definedName>
    <definedName name="KAPA1">#REF!</definedName>
    <definedName name="KAPAs">[3]Serv!$E$9</definedName>
    <definedName name="Ks">'[7]SERVIÇOS '!$G$10</definedName>
    <definedName name="lista" localSheetId="2">#REF!</definedName>
    <definedName name="lista">#REF!</definedName>
    <definedName name="lista.coluna" localSheetId="2">#REF!</definedName>
    <definedName name="lista.coluna">#REF!</definedName>
    <definedName name="lista.linha" localSheetId="2">#REF!</definedName>
    <definedName name="lista.linha">#REF!</definedName>
    <definedName name="Macro1">#N/A</definedName>
    <definedName name="MATBDI" localSheetId="2">#REF!</definedName>
    <definedName name="MATBDI">#REF!</definedName>
    <definedName name="nil" localSheetId="2">#REF!</definedName>
    <definedName name="nil">#REF!</definedName>
    <definedName name="nilo" localSheetId="2">#REF!</definedName>
    <definedName name="nilo">#REF!</definedName>
    <definedName name="ok">#REF!</definedName>
    <definedName name="orçamento" localSheetId="2">#REF!</definedName>
    <definedName name="orçamento">#REF!</definedName>
    <definedName name="POP" localSheetId="2">#REF!</definedName>
    <definedName name="POP">#REF!</definedName>
    <definedName name="Print_Area_MI" localSheetId="2">#REF!</definedName>
    <definedName name="Print_Area_MI">#REF!</definedName>
    <definedName name="PRINT2" localSheetId="2">#REF!</definedName>
    <definedName name="PRINT2">#REF!</definedName>
    <definedName name="QTD">[8]Serviços!$E$7</definedName>
    <definedName name="Recalque" localSheetId="2">#REF!</definedName>
    <definedName name="Recalque">#REF!</definedName>
    <definedName name="Referencia.Descricao">IF(ISNUMBER([9]PO!linhaSINAPIxls),INDEX(INDIRECT("'[Referência "&amp;_xlnm.Database&amp;".xls]Banco'!$b:$g"),[9]PO!linhaSINAPIxls,3),"")</definedName>
    <definedName name="Referencia.Unidade">IF(ISNUMBER([9]PO!linhaSINAPIxls),INDEX(INDIRECT("'[Referência "&amp;_xlnm.Database&amp;".xls]Banco'!$b:$g"),[9]PO!linhaSINAPIxls,4),"")</definedName>
    <definedName name="s" localSheetId="2">#REF!</definedName>
    <definedName name="s">#REF!</definedName>
    <definedName name="sadsdf" localSheetId="2">#REF!</definedName>
    <definedName name="sadsdf">#REF!</definedName>
    <definedName name="sddddddddddd" localSheetId="2">#REF!</definedName>
    <definedName name="sddddddddddd">#REF!</definedName>
    <definedName name="TABELA" localSheetId="2">'[10]PLANILHA FONTE'!$B$1:$G$290</definedName>
    <definedName name="TABELA">'[11]PLANILHA FONTE'!$B$1:$G$290</definedName>
    <definedName name="TipoOrçamento">"BASE"</definedName>
    <definedName name="_xlnm.Print_Titles" localSheetId="2">COMPOSIÇÕES!$2:$6</definedName>
    <definedName name="_xlnm.Print_Titles" localSheetId="3">CRONOGRAMA!$1:$9</definedName>
    <definedName name="_xlnm.Print_Titles" localSheetId="1">MC!$1:$12</definedName>
    <definedName name="_xlnm.Print_Titles" localSheetId="0">Orçamento!$1:$9</definedName>
    <definedName name="truncar" localSheetId="2">[3]Serv!#REF!</definedName>
    <definedName name="truncar">[3]Serv!#REF!</definedName>
    <definedName name="vhvb" localSheetId="2">#REF!</definedName>
    <definedName name="vhvb">#REF!</definedName>
    <definedName name="vvvvvvvvvvvvvv" localSheetId="2">#REF!</definedName>
    <definedName name="vvvvvvvvvvvvvv">#REF!</definedName>
  </definedNames>
  <calcPr calcId="191029"/>
</workbook>
</file>

<file path=xl/calcChain.xml><?xml version="1.0" encoding="utf-8"?>
<calcChain xmlns="http://schemas.openxmlformats.org/spreadsheetml/2006/main">
  <c r="B6" i="22" l="1"/>
  <c r="A4" i="41"/>
  <c r="B3" i="8"/>
  <c r="A7" i="59"/>
  <c r="A6" i="59"/>
  <c r="A5" i="59"/>
  <c r="G43" i="59"/>
  <c r="F43" i="59"/>
  <c r="D43" i="59"/>
  <c r="C43" i="59"/>
  <c r="G35" i="59"/>
  <c r="F35" i="59"/>
  <c r="D35" i="59"/>
  <c r="C35" i="59"/>
  <c r="G22" i="59"/>
  <c r="F22" i="59"/>
  <c r="D22" i="59"/>
  <c r="C22" i="59"/>
  <c r="C47" i="59" s="1"/>
  <c r="C46" i="59" l="1"/>
  <c r="C48" i="59" s="1"/>
  <c r="C50" i="59" s="1"/>
  <c r="D46" i="59"/>
  <c r="D47" i="59"/>
  <c r="F46" i="59"/>
  <c r="F48" i="59" s="1"/>
  <c r="F50" i="59" s="1"/>
  <c r="F47" i="59"/>
  <c r="G46" i="59"/>
  <c r="G47" i="59"/>
  <c r="G48" i="59" l="1"/>
  <c r="G50" i="59" s="1"/>
  <c r="D48" i="59"/>
  <c r="D50" i="59" s="1"/>
  <c r="G14" i="8" l="1"/>
  <c r="F14" i="8"/>
  <c r="E14" i="8"/>
  <c r="D14" i="8"/>
  <c r="B46" i="8"/>
  <c r="B43" i="8"/>
  <c r="B40" i="8"/>
  <c r="B37" i="8"/>
  <c r="B34" i="8"/>
  <c r="B31" i="8"/>
  <c r="B28" i="8"/>
  <c r="B25" i="8"/>
  <c r="B22" i="8"/>
  <c r="B19" i="8"/>
  <c r="B16" i="8"/>
  <c r="B13" i="8"/>
  <c r="B10" i="8"/>
  <c r="H78" i="56"/>
  <c r="H77" i="56"/>
  <c r="H75" i="56"/>
  <c r="H74" i="56"/>
  <c r="H72" i="56"/>
  <c r="H71" i="56"/>
  <c r="H70" i="56"/>
  <c r="H69" i="56"/>
  <c r="H68" i="56"/>
  <c r="H67" i="56"/>
  <c r="H66" i="56"/>
  <c r="H65" i="56"/>
  <c r="H64" i="56"/>
  <c r="H63" i="56"/>
  <c r="G62" i="56"/>
  <c r="H62" i="56" s="1"/>
  <c r="D62" i="56"/>
  <c r="G61" i="56"/>
  <c r="H61" i="56" s="1"/>
  <c r="D61" i="56"/>
  <c r="G59" i="56"/>
  <c r="H59" i="56" s="1"/>
  <c r="H57" i="56"/>
  <c r="H56" i="56"/>
  <c r="H54" i="56"/>
  <c r="H53" i="56"/>
  <c r="H51" i="56"/>
  <c r="H50" i="56"/>
  <c r="H49" i="56"/>
  <c r="H48" i="56"/>
  <c r="H46" i="56"/>
  <c r="H45" i="56"/>
  <c r="H43" i="56"/>
  <c r="H42" i="56"/>
  <c r="H41" i="56"/>
  <c r="H40" i="56"/>
  <c r="H39" i="56"/>
  <c r="H37" i="56"/>
  <c r="H36" i="56"/>
  <c r="H35" i="56"/>
  <c r="H34" i="56"/>
  <c r="H33" i="56"/>
  <c r="H32" i="56"/>
  <c r="H31" i="56"/>
  <c r="H30" i="56"/>
  <c r="H29" i="56"/>
  <c r="H28" i="56"/>
  <c r="H26" i="56"/>
  <c r="H25" i="56"/>
  <c r="H24" i="56"/>
  <c r="H23" i="56"/>
  <c r="H22" i="56"/>
  <c r="H21" i="56"/>
  <c r="H20" i="56"/>
  <c r="H18" i="56"/>
  <c r="H17" i="56"/>
  <c r="H16" i="56"/>
  <c r="G14" i="56"/>
  <c r="H14" i="56" s="1"/>
  <c r="H12" i="56"/>
  <c r="B649" i="55"/>
  <c r="H648" i="55"/>
  <c r="H649" i="55" s="1"/>
  <c r="B645" i="55"/>
  <c r="H644" i="55"/>
  <c r="H645" i="55" s="1"/>
  <c r="B639" i="55"/>
  <c r="H638" i="55"/>
  <c r="H639" i="55" s="1"/>
  <c r="B635" i="55"/>
  <c r="H634" i="55"/>
  <c r="H635" i="55" s="1"/>
  <c r="B629" i="55"/>
  <c r="H628" i="55"/>
  <c r="H629" i="55" s="1"/>
  <c r="B625" i="55"/>
  <c r="H624" i="55"/>
  <c r="H625" i="55" s="1"/>
  <c r="B621" i="55"/>
  <c r="H620" i="55"/>
  <c r="H621" i="55" s="1"/>
  <c r="B617" i="55"/>
  <c r="H616" i="55"/>
  <c r="H615" i="55"/>
  <c r="B611" i="55"/>
  <c r="H610" i="55"/>
  <c r="H609" i="55"/>
  <c r="B606" i="55"/>
  <c r="H605" i="55"/>
  <c r="H606" i="55" s="1"/>
  <c r="B602" i="55"/>
  <c r="H601" i="55"/>
  <c r="H602" i="55" s="1"/>
  <c r="B598" i="55"/>
  <c r="H597" i="55"/>
  <c r="H598" i="55" s="1"/>
  <c r="B593" i="55"/>
  <c r="H592" i="55"/>
  <c r="H593" i="55" s="1"/>
  <c r="B589" i="55"/>
  <c r="H588" i="55"/>
  <c r="H589" i="55" s="1"/>
  <c r="B585" i="55"/>
  <c r="H584" i="55"/>
  <c r="H585" i="55" s="1"/>
  <c r="B582" i="55"/>
  <c r="B580" i="55"/>
  <c r="H579" i="55"/>
  <c r="H580" i="55" s="1"/>
  <c r="B578" i="55"/>
  <c r="B576" i="55"/>
  <c r="H575" i="55"/>
  <c r="H576" i="55" s="1"/>
  <c r="B572" i="55"/>
  <c r="H571" i="55"/>
  <c r="H572" i="55" s="1"/>
  <c r="B566" i="55"/>
  <c r="B561" i="55"/>
  <c r="H560" i="55"/>
  <c r="B551" i="55"/>
  <c r="H550" i="55"/>
  <c r="H551" i="55" s="1"/>
  <c r="B547" i="55"/>
  <c r="H546" i="55"/>
  <c r="H547" i="55" s="1"/>
  <c r="B541" i="55"/>
  <c r="H540" i="55"/>
  <c r="H541" i="55" s="1"/>
  <c r="B537" i="55"/>
  <c r="H536" i="55"/>
  <c r="H537" i="55" s="1"/>
  <c r="B533" i="55"/>
  <c r="E532" i="55"/>
  <c r="H532" i="55" s="1"/>
  <c r="H533" i="55" s="1"/>
  <c r="B528" i="55"/>
  <c r="H527" i="55"/>
  <c r="H528" i="55" s="1"/>
  <c r="B522" i="55"/>
  <c r="H521" i="55"/>
  <c r="H520" i="55"/>
  <c r="B517" i="55"/>
  <c r="H516" i="55"/>
  <c r="H515" i="55"/>
  <c r="B510" i="55"/>
  <c r="H509" i="55"/>
  <c r="H508" i="55"/>
  <c r="B505" i="55"/>
  <c r="H504" i="55"/>
  <c r="H503" i="55"/>
  <c r="H502" i="55"/>
  <c r="H501" i="55"/>
  <c r="H499" i="55"/>
  <c r="H498" i="55"/>
  <c r="B494" i="55"/>
  <c r="B490" i="55"/>
  <c r="E489" i="55"/>
  <c r="H489" i="55" s="1"/>
  <c r="B485" i="55"/>
  <c r="H484" i="55"/>
  <c r="H483" i="55"/>
  <c r="H481" i="55"/>
  <c r="H480" i="55"/>
  <c r="B474" i="55"/>
  <c r="H473" i="55"/>
  <c r="H471" i="55"/>
  <c r="B467" i="55"/>
  <c r="H466" i="55"/>
  <c r="H465" i="55"/>
  <c r="B461" i="55"/>
  <c r="B457" i="55"/>
  <c r="H456" i="55"/>
  <c r="H455" i="55"/>
  <c r="H454" i="55"/>
  <c r="H453" i="55"/>
  <c r="H452" i="55"/>
  <c r="H451" i="55"/>
  <c r="H450" i="55"/>
  <c r="E449" i="55"/>
  <c r="H449" i="55" s="1"/>
  <c r="H448" i="55"/>
  <c r="H447" i="55"/>
  <c r="H446" i="55"/>
  <c r="H445" i="55"/>
  <c r="H444" i="55"/>
  <c r="H443" i="55"/>
  <c r="H442" i="55"/>
  <c r="H441" i="55"/>
  <c r="H440" i="55"/>
  <c r="H439" i="55"/>
  <c r="E438" i="55"/>
  <c r="H438" i="55" s="1"/>
  <c r="E437" i="55"/>
  <c r="H437" i="55" s="1"/>
  <c r="H436" i="55"/>
  <c r="H435" i="55"/>
  <c r="H434" i="55"/>
  <c r="H431" i="55"/>
  <c r="H430" i="55"/>
  <c r="H428" i="55"/>
  <c r="H427" i="55"/>
  <c r="H425" i="55"/>
  <c r="H423" i="55"/>
  <c r="H422" i="55"/>
  <c r="B418" i="55"/>
  <c r="H417" i="55"/>
  <c r="H416" i="55"/>
  <c r="H418" i="55" s="1"/>
  <c r="B411" i="55"/>
  <c r="H410" i="55"/>
  <c r="H409" i="55"/>
  <c r="H408" i="55"/>
  <c r="H407" i="55"/>
  <c r="H406" i="55"/>
  <c r="H405" i="55"/>
  <c r="H404" i="55"/>
  <c r="H403" i="55"/>
  <c r="H402" i="55"/>
  <c r="H401" i="55"/>
  <c r="D400" i="55"/>
  <c r="H400" i="55" s="1"/>
  <c r="H399" i="55"/>
  <c r="D398" i="55"/>
  <c r="H398" i="55" s="1"/>
  <c r="H397" i="55"/>
  <c r="H396" i="55"/>
  <c r="H395" i="55"/>
  <c r="H394" i="55"/>
  <c r="H393" i="55"/>
  <c r="H392" i="55"/>
  <c r="H391" i="55"/>
  <c r="H390" i="55"/>
  <c r="H389" i="55"/>
  <c r="H388" i="55"/>
  <c r="D385" i="55"/>
  <c r="H385" i="55" s="1"/>
  <c r="D384" i="55"/>
  <c r="H384" i="55" s="1"/>
  <c r="D382" i="55"/>
  <c r="H382" i="55" s="1"/>
  <c r="D381" i="55"/>
  <c r="H381" i="55" s="1"/>
  <c r="D379" i="55"/>
  <c r="H379" i="55" s="1"/>
  <c r="D377" i="55"/>
  <c r="H377" i="55" s="1"/>
  <c r="D376" i="55"/>
  <c r="H376" i="55" s="1"/>
  <c r="B371" i="55"/>
  <c r="H370" i="55"/>
  <c r="H369" i="55"/>
  <c r="H368" i="55"/>
  <c r="H367" i="55"/>
  <c r="H366" i="55"/>
  <c r="H364" i="55"/>
  <c r="H363" i="55"/>
  <c r="H362" i="55"/>
  <c r="H361" i="55"/>
  <c r="H360" i="55"/>
  <c r="H359" i="55"/>
  <c r="H358" i="55"/>
  <c r="H357" i="55"/>
  <c r="H356" i="55"/>
  <c r="H355" i="55"/>
  <c r="H354" i="55"/>
  <c r="H353" i="55"/>
  <c r="H352" i="55"/>
  <c r="H351" i="55"/>
  <c r="H350" i="55"/>
  <c r="H349" i="55"/>
  <c r="H348" i="55"/>
  <c r="H347" i="55"/>
  <c r="H346" i="55"/>
  <c r="H345" i="55"/>
  <c r="H344" i="55"/>
  <c r="H343" i="55"/>
  <c r="H342" i="55"/>
  <c r="H341" i="55"/>
  <c r="H340" i="55"/>
  <c r="H339" i="55"/>
  <c r="H338" i="55"/>
  <c r="H337" i="55"/>
  <c r="H336" i="55"/>
  <c r="H335" i="55"/>
  <c r="H334" i="55"/>
  <c r="H333" i="55"/>
  <c r="H332" i="55"/>
  <c r="B327" i="55"/>
  <c r="H326" i="55"/>
  <c r="H325" i="55"/>
  <c r="H324" i="55"/>
  <c r="H323" i="55"/>
  <c r="H322" i="55"/>
  <c r="H321" i="55"/>
  <c r="H320" i="55"/>
  <c r="H319" i="55"/>
  <c r="H318" i="55"/>
  <c r="H317" i="55"/>
  <c r="H316" i="55"/>
  <c r="H315" i="55"/>
  <c r="H314" i="55"/>
  <c r="H313" i="55"/>
  <c r="H312" i="55"/>
  <c r="E311" i="55"/>
  <c r="H311" i="55" s="1"/>
  <c r="E310" i="55"/>
  <c r="H310" i="55" s="1"/>
  <c r="H309" i="55"/>
  <c r="B304" i="55"/>
  <c r="H303" i="55"/>
  <c r="H302" i="55"/>
  <c r="H301" i="55"/>
  <c r="H300" i="55"/>
  <c r="H299" i="55"/>
  <c r="H298" i="55"/>
  <c r="H297" i="55"/>
  <c r="E296" i="55"/>
  <c r="H296" i="55" s="1"/>
  <c r="H295" i="55"/>
  <c r="H294" i="55"/>
  <c r="H293" i="55"/>
  <c r="H292" i="55"/>
  <c r="H291" i="55"/>
  <c r="H290" i="55"/>
  <c r="H289" i="55"/>
  <c r="H288" i="55"/>
  <c r="H287" i="55"/>
  <c r="H286" i="55"/>
  <c r="E285" i="55"/>
  <c r="H285" i="55" s="1"/>
  <c r="E284" i="55"/>
  <c r="H284" i="55" s="1"/>
  <c r="H283" i="55"/>
  <c r="H282" i="55"/>
  <c r="H281" i="55"/>
  <c r="B277" i="55"/>
  <c r="H276" i="55"/>
  <c r="H275" i="55"/>
  <c r="H273" i="55"/>
  <c r="H272" i="55"/>
  <c r="H270" i="55"/>
  <c r="H268" i="55"/>
  <c r="H267" i="55"/>
  <c r="B261" i="55"/>
  <c r="B257" i="55"/>
  <c r="H256" i="55"/>
  <c r="H255" i="55"/>
  <c r="H254" i="55"/>
  <c r="H253" i="55"/>
  <c r="H252" i="55"/>
  <c r="H251" i="55"/>
  <c r="H250" i="55"/>
  <c r="H249" i="55"/>
  <c r="H248" i="55"/>
  <c r="E247" i="55"/>
  <c r="H247" i="55" s="1"/>
  <c r="E246" i="55"/>
  <c r="H246" i="55" s="1"/>
  <c r="H245" i="55"/>
  <c r="H244" i="55"/>
  <c r="H243" i="55"/>
  <c r="H241" i="55"/>
  <c r="F240" i="55"/>
  <c r="E240" i="55"/>
  <c r="H235" i="55"/>
  <c r="H233" i="55"/>
  <c r="F232" i="55"/>
  <c r="E232" i="55"/>
  <c r="H232" i="55" s="1"/>
  <c r="H227" i="55"/>
  <c r="H225" i="55"/>
  <c r="F224" i="55"/>
  <c r="E224" i="55"/>
  <c r="H224" i="55" s="1"/>
  <c r="H219" i="55"/>
  <c r="B216" i="55"/>
  <c r="H215" i="55"/>
  <c r="D214" i="55"/>
  <c r="H214" i="55" s="1"/>
  <c r="H213" i="55"/>
  <c r="D212" i="55"/>
  <c r="H212" i="55" s="1"/>
  <c r="H211" i="55"/>
  <c r="H210" i="55"/>
  <c r="H209" i="55"/>
  <c r="H208" i="55"/>
  <c r="H207" i="55"/>
  <c r="H206" i="55"/>
  <c r="H205" i="55"/>
  <c r="H204" i="55"/>
  <c r="H203" i="55"/>
  <c r="H202" i="55"/>
  <c r="B197" i="55"/>
  <c r="H196" i="55"/>
  <c r="H195" i="55"/>
  <c r="H194" i="55"/>
  <c r="H193" i="55"/>
  <c r="H192" i="55"/>
  <c r="H191" i="55"/>
  <c r="H190" i="55"/>
  <c r="H189" i="55"/>
  <c r="H188" i="55"/>
  <c r="E187" i="55"/>
  <c r="H187" i="55" s="1"/>
  <c r="E186" i="55"/>
  <c r="H186" i="55" s="1"/>
  <c r="H185" i="55"/>
  <c r="H184" i="55"/>
  <c r="H183" i="55"/>
  <c r="H181" i="55"/>
  <c r="H180" i="55"/>
  <c r="H179" i="55"/>
  <c r="H178" i="55"/>
  <c r="H177" i="55"/>
  <c r="H176" i="55"/>
  <c r="H175" i="55"/>
  <c r="H174" i="55"/>
  <c r="H173" i="55"/>
  <c r="H172" i="55"/>
  <c r="H171" i="55"/>
  <c r="H170" i="55"/>
  <c r="H169" i="55"/>
  <c r="H168" i="55"/>
  <c r="H167" i="55"/>
  <c r="H166" i="55"/>
  <c r="H165" i="55"/>
  <c r="H164" i="55"/>
  <c r="H163" i="55"/>
  <c r="H162" i="55"/>
  <c r="H161" i="55"/>
  <c r="H160" i="55"/>
  <c r="H159" i="55"/>
  <c r="H158" i="55"/>
  <c r="H157" i="55"/>
  <c r="H156" i="55"/>
  <c r="H155" i="55"/>
  <c r="H154" i="55"/>
  <c r="H153" i="55"/>
  <c r="H152" i="55"/>
  <c r="H151" i="55"/>
  <c r="H150" i="55"/>
  <c r="H149" i="55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H136" i="55"/>
  <c r="H135" i="55"/>
  <c r="H134" i="55"/>
  <c r="H133" i="55"/>
  <c r="H132" i="55"/>
  <c r="H131" i="55"/>
  <c r="H130" i="55"/>
  <c r="H129" i="55"/>
  <c r="H128" i="55"/>
  <c r="H127" i="55"/>
  <c r="H126" i="55"/>
  <c r="H125" i="55"/>
  <c r="H124" i="55"/>
  <c r="H123" i="55"/>
  <c r="H122" i="55"/>
  <c r="H121" i="55"/>
  <c r="H120" i="55"/>
  <c r="H119" i="55"/>
  <c r="H118" i="55"/>
  <c r="H117" i="55"/>
  <c r="H116" i="55"/>
  <c r="B112" i="55"/>
  <c r="H111" i="55"/>
  <c r="H110" i="55"/>
  <c r="H109" i="55"/>
  <c r="H108" i="55"/>
  <c r="H107" i="55"/>
  <c r="H106" i="55"/>
  <c r="H105" i="55"/>
  <c r="H104" i="55"/>
  <c r="H103" i="55"/>
  <c r="E102" i="55"/>
  <c r="H102" i="55" s="1"/>
  <c r="E101" i="55"/>
  <c r="H101" i="55" s="1"/>
  <c r="H100" i="55"/>
  <c r="H99" i="55"/>
  <c r="H98" i="55"/>
  <c r="B94" i="55"/>
  <c r="H93" i="55"/>
  <c r="H92" i="55"/>
  <c r="H91" i="55"/>
  <c r="B86" i="55"/>
  <c r="H85" i="55"/>
  <c r="H84" i="55"/>
  <c r="H83" i="55"/>
  <c r="H82" i="55"/>
  <c r="H81" i="55"/>
  <c r="H80" i="55"/>
  <c r="H79" i="55"/>
  <c r="H78" i="55"/>
  <c r="H77" i="55"/>
  <c r="E76" i="55"/>
  <c r="H76" i="55" s="1"/>
  <c r="E75" i="55"/>
  <c r="H75" i="55" s="1"/>
  <c r="H74" i="55"/>
  <c r="H73" i="55"/>
  <c r="H72" i="55"/>
  <c r="H70" i="55"/>
  <c r="H69" i="55"/>
  <c r="H68" i="55"/>
  <c r="B62" i="55"/>
  <c r="B56" i="55"/>
  <c r="H55" i="55"/>
  <c r="H54" i="55"/>
  <c r="B50" i="55"/>
  <c r="H49" i="55"/>
  <c r="H48" i="55"/>
  <c r="H47" i="55"/>
  <c r="H46" i="55"/>
  <c r="H45" i="55"/>
  <c r="H44" i="55"/>
  <c r="H43" i="55"/>
  <c r="H42" i="55"/>
  <c r="H41" i="55"/>
  <c r="E40" i="55"/>
  <c r="H40" i="55" s="1"/>
  <c r="E39" i="55"/>
  <c r="H39" i="55" s="1"/>
  <c r="H38" i="55"/>
  <c r="H37" i="55"/>
  <c r="H36" i="55"/>
  <c r="H34" i="55"/>
  <c r="H33" i="55"/>
  <c r="H32" i="55"/>
  <c r="B26" i="55"/>
  <c r="H25" i="55"/>
  <c r="H26" i="55" s="1"/>
  <c r="B19" i="55"/>
  <c r="H18" i="55"/>
  <c r="H19" i="55" s="1"/>
  <c r="E18" i="41"/>
  <c r="E19" i="41"/>
  <c r="I53" i="56" l="1"/>
  <c r="I17" i="56"/>
  <c r="I14" i="56"/>
  <c r="I13" i="56" s="1"/>
  <c r="C13" i="8" s="1"/>
  <c r="G13" i="8" s="1"/>
  <c r="I23" i="56"/>
  <c r="I24" i="56"/>
  <c r="I32" i="56"/>
  <c r="I50" i="56"/>
  <c r="I30" i="56"/>
  <c r="I33" i="56"/>
  <c r="I28" i="56"/>
  <c r="I12" i="56"/>
  <c r="I11" i="56" s="1"/>
  <c r="C10" i="8" s="1"/>
  <c r="I37" i="56"/>
  <c r="I54" i="56"/>
  <c r="I61" i="56"/>
  <c r="I62" i="56"/>
  <c r="I45" i="56"/>
  <c r="I59" i="56"/>
  <c r="I69" i="56"/>
  <c r="I70" i="56"/>
  <c r="I71" i="56"/>
  <c r="I72" i="56"/>
  <c r="I77" i="56"/>
  <c r="I78" i="56"/>
  <c r="I48" i="56"/>
  <c r="I49" i="56"/>
  <c r="I63" i="56"/>
  <c r="I64" i="56"/>
  <c r="I67" i="56"/>
  <c r="I74" i="56"/>
  <c r="I75" i="56"/>
  <c r="I65" i="56"/>
  <c r="I66" i="56"/>
  <c r="I68" i="56"/>
  <c r="H611" i="55"/>
  <c r="H240" i="55"/>
  <c r="H257" i="55" s="1"/>
  <c r="H411" i="55"/>
  <c r="H277" i="55"/>
  <c r="H327" i="55"/>
  <c r="H474" i="55"/>
  <c r="H485" i="55"/>
  <c r="E493" i="55" s="1"/>
  <c r="H493" i="55" s="1"/>
  <c r="H494" i="55" s="1"/>
  <c r="H505" i="55"/>
  <c r="E559" i="55" s="1"/>
  <c r="H522" i="55"/>
  <c r="H457" i="55"/>
  <c r="E460" i="55" s="1"/>
  <c r="H460" i="55" s="1"/>
  <c r="H461" i="55" s="1"/>
  <c r="H216" i="55"/>
  <c r="H112" i="55"/>
  <c r="H56" i="55"/>
  <c r="H86" i="55"/>
  <c r="E60" i="55" s="1"/>
  <c r="H60" i="55" s="1"/>
  <c r="H510" i="55"/>
  <c r="H517" i="55"/>
  <c r="H617" i="55"/>
  <c r="H304" i="55"/>
  <c r="E558" i="55"/>
  <c r="H558" i="55" s="1"/>
  <c r="H94" i="55"/>
  <c r="H371" i="55"/>
  <c r="H467" i="55"/>
  <c r="H50" i="55"/>
  <c r="H197" i="55"/>
  <c r="I73" i="56" l="1"/>
  <c r="C43" i="8" s="1"/>
  <c r="G43" i="8" s="1"/>
  <c r="I52" i="56"/>
  <c r="C34" i="8" s="1"/>
  <c r="G34" i="8" s="1"/>
  <c r="I34" i="56"/>
  <c r="I21" i="56"/>
  <c r="I36" i="56"/>
  <c r="I29" i="56"/>
  <c r="I42" i="56"/>
  <c r="I51" i="56"/>
  <c r="I47" i="56" s="1"/>
  <c r="C31" i="8" s="1"/>
  <c r="G31" i="8" s="1"/>
  <c r="I76" i="56"/>
  <c r="C46" i="8" s="1"/>
  <c r="G46" i="8" s="1"/>
  <c r="I22" i="56"/>
  <c r="I35" i="56"/>
  <c r="I46" i="56"/>
  <c r="I44" i="56" s="1"/>
  <c r="C28" i="8" s="1"/>
  <c r="F28" i="8" s="1"/>
  <c r="I31" i="56"/>
  <c r="I16" i="56"/>
  <c r="I39" i="56"/>
  <c r="I43" i="56"/>
  <c r="I40" i="56"/>
  <c r="I20" i="56"/>
  <c r="E488" i="55"/>
  <c r="H488" i="55" s="1"/>
  <c r="H490" i="55" s="1"/>
  <c r="E59" i="55"/>
  <c r="H59" i="55" s="1"/>
  <c r="E260" i="55"/>
  <c r="H260" i="55" s="1"/>
  <c r="H261" i="55" s="1"/>
  <c r="H559" i="55"/>
  <c r="E557" i="55"/>
  <c r="I27" i="56" l="1"/>
  <c r="C22" i="8" s="1"/>
  <c r="D22" i="8" s="1"/>
  <c r="I41" i="56"/>
  <c r="I38" i="56" s="1"/>
  <c r="C25" i="8" s="1"/>
  <c r="F25" i="8" s="1"/>
  <c r="I25" i="56"/>
  <c r="E61" i="55"/>
  <c r="H61" i="55" s="1"/>
  <c r="H62" i="55" s="1"/>
  <c r="H557" i="55"/>
  <c r="H561" i="55" s="1"/>
  <c r="I26" i="56" l="1"/>
  <c r="I19" i="56" s="1"/>
  <c r="C19" i="8" s="1"/>
  <c r="I18" i="56"/>
  <c r="I15" i="56" s="1"/>
  <c r="C16" i="8" s="1"/>
  <c r="E565" i="55"/>
  <c r="H565" i="55" s="1"/>
  <c r="H566" i="55" s="1"/>
  <c r="I57" i="56" l="1"/>
  <c r="I56" i="56"/>
  <c r="I55" i="56" s="1"/>
  <c r="C37" i="8" l="1"/>
  <c r="I50" i="41"/>
  <c r="G50" i="41"/>
  <c r="I51" i="41"/>
  <c r="G51" i="41"/>
  <c r="G37" i="8" l="1"/>
  <c r="I90" i="41" l="1"/>
  <c r="G90" i="41"/>
  <c r="I89" i="41"/>
  <c r="G89" i="41"/>
  <c r="I88" i="41"/>
  <c r="G88" i="41"/>
  <c r="I87" i="41"/>
  <c r="G87" i="41"/>
  <c r="I86" i="41"/>
  <c r="G86" i="41"/>
  <c r="I85" i="41"/>
  <c r="G85" i="41"/>
  <c r="I84" i="41"/>
  <c r="G84" i="41"/>
  <c r="I83" i="41"/>
  <c r="G83" i="41"/>
  <c r="G70" i="41"/>
  <c r="I70" i="41"/>
  <c r="G71" i="41"/>
  <c r="I71" i="41"/>
  <c r="I69" i="41"/>
  <c r="G69" i="41"/>
  <c r="I68" i="41"/>
  <c r="G68" i="41"/>
  <c r="I67" i="41"/>
  <c r="G67" i="41"/>
  <c r="I66" i="41"/>
  <c r="G66" i="41"/>
  <c r="I65" i="41"/>
  <c r="G65" i="41"/>
  <c r="I64" i="41"/>
  <c r="G64" i="41"/>
  <c r="G91" i="41" l="1"/>
  <c r="F79" i="41" s="1"/>
  <c r="I91" i="41"/>
  <c r="H79" i="41" s="1"/>
  <c r="I72" i="41"/>
  <c r="H60" i="41" s="1"/>
  <c r="G72" i="41"/>
  <c r="F60" i="41" s="1"/>
  <c r="J20" i="41" l="1"/>
  <c r="K19" i="41" s="1"/>
  <c r="J18" i="41"/>
  <c r="K18" i="41" s="1"/>
  <c r="A6" i="41" l="1"/>
  <c r="A5" i="41"/>
  <c r="G18" i="41"/>
  <c r="I38" i="41"/>
  <c r="G38" i="41"/>
  <c r="I37" i="41"/>
  <c r="G37" i="41"/>
  <c r="I36" i="41"/>
  <c r="G36" i="41"/>
  <c r="I35" i="41"/>
  <c r="G35" i="41"/>
  <c r="I34" i="41"/>
  <c r="G34" i="41"/>
  <c r="I33" i="41"/>
  <c r="G33" i="41"/>
  <c r="I32" i="41"/>
  <c r="G32" i="41"/>
  <c r="G19" i="41"/>
  <c r="G52" i="41" l="1"/>
  <c r="I52" i="41"/>
  <c r="I53" i="41" l="1"/>
  <c r="G53" i="41"/>
  <c r="I39" i="41"/>
  <c r="G39" i="41"/>
  <c r="I19" i="41"/>
  <c r="I18" i="41"/>
  <c r="H46" i="41" l="1"/>
  <c r="F46" i="41"/>
  <c r="H28" i="41"/>
  <c r="F28" i="41"/>
  <c r="G20" i="41"/>
  <c r="I20" i="41"/>
  <c r="G60" i="56" l="1"/>
  <c r="H60" i="56" s="1"/>
  <c r="I60" i="56" s="1"/>
  <c r="I58" i="56" s="1"/>
  <c r="H14" i="41"/>
  <c r="F14" i="41"/>
  <c r="C40" i="8" l="1"/>
  <c r="I79" i="56"/>
  <c r="G40" i="8" l="1"/>
  <c r="G52" i="8" s="1"/>
  <c r="C49" i="8"/>
  <c r="G49" i="8" s="1"/>
  <c r="L337" i="41"/>
  <c r="B8" i="22" l="1"/>
  <c r="B7" i="22"/>
  <c r="F13" i="8" l="1"/>
  <c r="E13" i="8"/>
  <c r="I43" i="8" l="1"/>
  <c r="E22" i="8" l="1"/>
  <c r="E52" i="8" s="1"/>
  <c r="F22" i="8"/>
  <c r="F52" i="8" s="1"/>
  <c r="E21" i="22" l="1"/>
  <c r="D24" i="22"/>
  <c r="D28" i="22" s="1"/>
  <c r="D19" i="8" l="1"/>
  <c r="B5" i="8"/>
  <c r="B4" i="8"/>
  <c r="I46" i="8" l="1"/>
  <c r="I40" i="8" l="1"/>
  <c r="I31" i="8" l="1"/>
  <c r="I34" i="8" l="1"/>
  <c r="I37" i="8" l="1"/>
  <c r="I28" i="8" l="1"/>
  <c r="I22" i="8" l="1"/>
  <c r="I25" i="8" l="1"/>
  <c r="D16" i="8" l="1"/>
  <c r="I16" i="8" s="1"/>
  <c r="I58" i="8" l="1"/>
  <c r="J60" i="8" s="1"/>
  <c r="G53" i="8"/>
  <c r="C44" i="8"/>
  <c r="C60" i="8"/>
  <c r="C47" i="8"/>
  <c r="E53" i="8"/>
  <c r="F53" i="8"/>
  <c r="I19" i="8"/>
  <c r="D10" i="8" l="1"/>
  <c r="I10" i="8" l="1"/>
  <c r="D13" i="8" l="1"/>
  <c r="D52" i="8" s="1"/>
  <c r="C38" i="8"/>
  <c r="D55" i="8" l="1"/>
  <c r="E55" i="8" s="1"/>
  <c r="C14" i="8"/>
  <c r="C41" i="8"/>
  <c r="I13" i="8"/>
  <c r="C26" i="8"/>
  <c r="C32" i="8"/>
  <c r="C29" i="8"/>
  <c r="C50" i="8"/>
  <c r="C23" i="8"/>
  <c r="C11" i="8"/>
  <c r="C20" i="8"/>
  <c r="C35" i="8"/>
  <c r="C17" i="8"/>
  <c r="F55" i="8" l="1"/>
  <c r="G55" i="8" s="1"/>
  <c r="E56" i="8"/>
  <c r="D58" i="8"/>
  <c r="J58" i="8" s="1"/>
  <c r="D53" i="8"/>
  <c r="F56" i="8" l="1"/>
  <c r="G56" i="8"/>
  <c r="D56" i="8"/>
</calcChain>
</file>

<file path=xl/sharedStrings.xml><?xml version="1.0" encoding="utf-8"?>
<sst xmlns="http://schemas.openxmlformats.org/spreadsheetml/2006/main" count="1351" uniqueCount="635">
  <si>
    <t>PROJETO</t>
  </si>
  <si>
    <t>ITEM</t>
  </si>
  <si>
    <t>DESCRIÇÃO</t>
  </si>
  <si>
    <t>UN.</t>
  </si>
  <si>
    <t>TAXA</t>
  </si>
  <si>
    <t>COMP</t>
  </si>
  <si>
    <t>LARG</t>
  </si>
  <si>
    <t>TOTAL</t>
  </si>
  <si>
    <t>SERVIÇOS PRELIMINARES</t>
  </si>
  <si>
    <t>2.1</t>
  </si>
  <si>
    <t>3.1</t>
  </si>
  <si>
    <t>3.2</t>
  </si>
  <si>
    <t>m</t>
  </si>
  <si>
    <t>4.1</t>
  </si>
  <si>
    <t>4.2</t>
  </si>
  <si>
    <t>5.1</t>
  </si>
  <si>
    <t>5.3</t>
  </si>
  <si>
    <t>5.4</t>
  </si>
  <si>
    <t>CÓDIGO</t>
  </si>
  <si>
    <t>PLANILHA ORÇAMENTÁRIA</t>
  </si>
  <si>
    <t>6.1</t>
  </si>
  <si>
    <t>6.2</t>
  </si>
  <si>
    <t>6.3</t>
  </si>
  <si>
    <t>TOTAL GERAL</t>
  </si>
  <si>
    <t>CRONOGRAMA FÍSICO FINANCEIRO</t>
  </si>
  <si>
    <t>ETAPA</t>
  </si>
  <si>
    <t>SERVIÇO</t>
  </si>
  <si>
    <t>MÊS/ DESEMBOLSO</t>
  </si>
  <si>
    <t>TOTAL ETAPA (R$)</t>
  </si>
  <si>
    <t>7.1</t>
  </si>
  <si>
    <t>7.2</t>
  </si>
  <si>
    <t>8.1</t>
  </si>
  <si>
    <t>9.1</t>
  </si>
  <si>
    <t>10.1</t>
  </si>
  <si>
    <t>11.1</t>
  </si>
  <si>
    <t>11.2</t>
  </si>
  <si>
    <t>12.1</t>
  </si>
  <si>
    <t>TRABALHOS EM TERRA</t>
  </si>
  <si>
    <t>ESTRUTURA</t>
  </si>
  <si>
    <t>COBERTA</t>
  </si>
  <si>
    <t>PAREDES E REVESTIMENTOS</t>
  </si>
  <si>
    <t>PISOS</t>
  </si>
  <si>
    <t>ESQUADRIAS</t>
  </si>
  <si>
    <t>PINTURA</t>
  </si>
  <si>
    <t>INSTALAÇÕES ELÉTRICAS</t>
  </si>
  <si>
    <t>DIVERSOS</t>
  </si>
  <si>
    <t>INSTALAÇÕES HIDROSSANITÁRIAS</t>
  </si>
  <si>
    <t>INFRAESTRUTURA</t>
  </si>
  <si>
    <t>MEMÓRIA DE CÁLCULO EXPLICATIVO</t>
  </si>
  <si>
    <t>TOTAL (R$):</t>
  </si>
  <si>
    <t>1º MÊS</t>
  </si>
  <si>
    <t>2º MÊS</t>
  </si>
  <si>
    <t>3º MÊS</t>
  </si>
  <si>
    <t>MEDIA/MÊS</t>
  </si>
  <si>
    <t>QUANT.</t>
  </si>
  <si>
    <t>TOTAIS PARCIAIS</t>
  </si>
  <si>
    <t>SINAPI</t>
  </si>
  <si>
    <t>FONTE</t>
  </si>
  <si>
    <t>COMPOSIÇÃO DE BDI PARA SERVIÇOS GERAIS DE EDIFICAÇÕES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</si>
  <si>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</si>
  <si>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</si>
  <si>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</si>
  <si>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</si>
  <si>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</si>
  <si>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</si>
  <si>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</si>
  <si>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</si>
  <si>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</si>
  <si>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</si>
  <si>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</si>
  <si>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</si>
  <si>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</si>
  <si>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</si>
  <si>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</si>
  <si>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</si>
  <si>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</si>
  <si>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>I</t>
  </si>
  <si>
    <t>Taxa de Lucro</t>
  </si>
  <si>
    <t>L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</si>
  <si>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</si>
  <si>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</si>
  <si>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</si>
  <si>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</si>
  <si>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</si>
  <si>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</si>
  <si>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t>Fórmula BDI conforme Acórdão TCU 325/2007:</t>
  </si>
  <si>
    <t xml:space="preserve">Taxa de Tributos (Soma dos itens COFINS, ISS, PIS e CPRB) </t>
  </si>
  <si>
    <t>TOTAIS ACUMULADOS</t>
  </si>
  <si>
    <t>med</t>
  </si>
  <si>
    <t>*med=min</t>
  </si>
  <si>
    <t>min-med</t>
  </si>
  <si>
    <t>(BDI padrão Edificações com CPRB considerando M.O. de 40%)</t>
  </si>
  <si>
    <t>Taxa de Seguro e Taxa de Garantia</t>
  </si>
  <si>
    <t>S + G</t>
  </si>
  <si>
    <t>8.2</t>
  </si>
  <si>
    <t>CUSTO UNIT. S/BDI</t>
  </si>
  <si>
    <t>VALOR UNIT. C/BDI</t>
  </si>
  <si>
    <t>VALOR TOTAL (R$)</t>
  </si>
  <si>
    <t xml:space="preserve">BDI </t>
  </si>
  <si>
    <t>Composição</t>
  </si>
  <si>
    <t>M</t>
  </si>
  <si>
    <t>M2</t>
  </si>
  <si>
    <t>13.1</t>
  </si>
  <si>
    <t>UN</t>
  </si>
  <si>
    <t>93358</t>
  </si>
  <si>
    <t>87879</t>
  </si>
  <si>
    <t>M3</t>
  </si>
  <si>
    <t>88485</t>
  </si>
  <si>
    <t>88489</t>
  </si>
  <si>
    <t>ALT/ESP</t>
  </si>
  <si>
    <t>LASTRO DE CONCRETO MAGRO, APLICADO EM PISOS OU RADIERS. AF_08/2017</t>
  </si>
  <si>
    <t>CHAPISCO APLICADO EM ALVENARIAS E ESTRUTURAS DE CONCRETO INTERNAS, COM COLHER DE PEDREIRO.  ARGAMASSA TRAÇO 1:3 COM PREPARO EM BETONEIRA 400L. AF_06/2014</t>
  </si>
  <si>
    <t>APLICAÇÃO MANUAL DE PINTURA COM TINTA LÁTEX ACRÍLICA EM PAREDES, DUAS DEMÃOS. AF_06/2014</t>
  </si>
  <si>
    <t>001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</si>
  <si>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</si>
  <si>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</si>
  <si>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</si>
  <si>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</si>
  <si>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</si>
  <si>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</si>
  <si>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</si>
  <si>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</si>
  <si>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</si>
  <si>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ESCAVAÇÃO MANUAL DE VALA COM PROFUNDIDADE MENOR OU IGUAL A 1,30 M. AF_03/2016</t>
  </si>
  <si>
    <t>COMPOSIÇÕES DE CUSTOS UNITÁRIOS COMPLEMENTARES</t>
  </si>
  <si>
    <t>73611</t>
  </si>
  <si>
    <t>Código de referência (origem dos coeficientes da composição)</t>
  </si>
  <si>
    <t xml:space="preserve">Discriminação do código de referência: </t>
  </si>
  <si>
    <t>Unidade</t>
  </si>
  <si>
    <t>Preço Unitário Custo</t>
  </si>
  <si>
    <t>Quantidade</t>
  </si>
  <si>
    <t>COM DESONERAÇÂO</t>
  </si>
  <si>
    <t>SEM DESONERAÇÂO</t>
  </si>
  <si>
    <t xml:space="preserve">Fonte </t>
  </si>
  <si>
    <t>Código</t>
  </si>
  <si>
    <t>Coeficiente</t>
  </si>
  <si>
    <t>Custo
Unitário</t>
  </si>
  <si>
    <t>Custo
Total</t>
  </si>
  <si>
    <t xml:space="preserve">UN    </t>
  </si>
  <si>
    <t>SINAPI
COMPOSIÇÃO</t>
  </si>
  <si>
    <t>Total</t>
  </si>
  <si>
    <t>COMPOSIÇÃO 03</t>
  </si>
  <si>
    <t>CAIXA OCTOGONAL 3" X 3", PVC, INSTALADA EM LAJE - FORNECIMENTO E INSTALAÇÃO. AF_12/2015</t>
  </si>
  <si>
    <t>COMPOSIÇÃO 01</t>
  </si>
  <si>
    <t>Volume escavação (item 3.1)</t>
  </si>
  <si>
    <t>Menos volume de concreto magro (item 4.1)</t>
  </si>
  <si>
    <t>LAJE PRÉ-MOLDADA UNIDIRECIONAL, BIAPOIADA, PARA PISO, ENCHIMENTO EM CERÂMICA, VIGOTA CONVENCIONAL, ALTURA TOTAL DA LAJE (ENCHIMENTO+CAPA) = (8+4). AF_11/2020</t>
  </si>
  <si>
    <t>COMPOSIÇÃO 02</t>
  </si>
  <si>
    <t>COMPOSIÇÃO 04</t>
  </si>
  <si>
    <t>90447</t>
  </si>
  <si>
    <t>RASGO EM ALVENARIA PARA ELETRODUTOS COM DIAMETROS MENORES OU IGUAIS A 40 MM. AF_05/2015</t>
  </si>
  <si>
    <t>90456</t>
  </si>
  <si>
    <t>QUEBRA EM ALVENARIA PARA INSTALAÇÃO DE CAIXA DE TOMADA (4X4 OU 4X2). AF_05/2015</t>
  </si>
  <si>
    <t>90466</t>
  </si>
  <si>
    <t>CHUMBAMENTO LINEAR EM ALVENARIA PARA RAMAIS/DISTRIBUIÇÃO COM DIÂMETROS MENORES OU IGUAIS A 40 MM. AF_05/2015</t>
  </si>
  <si>
    <t>2,0000000</t>
  </si>
  <si>
    <t>91937</t>
  </si>
  <si>
    <t>91940</t>
  </si>
  <si>
    <t>CAIXA RETANGULAR 4" X 2" MÉDIA (1,30 M DO PISO), PVC, INSTALADA EM PAREDE - FORNECIMENTO E INSTALAÇÃO. AF_12/2015</t>
  </si>
  <si>
    <t>93137</t>
  </si>
  <si>
    <t>COMPOSIÇÃO 05</t>
  </si>
  <si>
    <t>11.0</t>
  </si>
  <si>
    <t>91926</t>
  </si>
  <si>
    <t>CABO DE COBRE FLEXÍVEL ISOLADO, 2,5 MM², ANTI-CHAMA 450/750 V, PARA CIRCUITOS TERMINAIS - FORNECIMENTO E INSTALAÇÃO. AF_12/2015</t>
  </si>
  <si>
    <t>96109</t>
  </si>
  <si>
    <t>FORRO EM PLACAS DE GESSO, PARA AMBIENTES RESIDENCIAIS. AF_05/2017_P</t>
  </si>
  <si>
    <t>1.0</t>
  </si>
  <si>
    <t>1.1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</si>
  <si>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</si>
  <si>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</si>
  <si>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</si>
  <si>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</si>
  <si>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</si>
  <si>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</si>
  <si>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</si>
  <si>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</si>
  <si>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</si>
  <si>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12.0</t>
  </si>
  <si>
    <t>13.0</t>
  </si>
  <si>
    <t>WC PNE</t>
  </si>
  <si>
    <t>Sapatas</t>
  </si>
  <si>
    <t>Pilares</t>
  </si>
  <si>
    <t>parte externa</t>
  </si>
  <si>
    <t>COMPOSIÇÃO</t>
  </si>
  <si>
    <t>103328</t>
  </si>
  <si>
    <t>ALVENARIA DE VEDAÇÃO DE BLOCOS CERÂMICOS FURADOS NA HORIZONTAL DE 9X19X19 CM (ESPESSURA 9 CM) E ARGAMASSA DE ASSENTAMENTO COM PREPARO EM BETONEIRA. AF_12/2021</t>
  </si>
  <si>
    <t>87792</t>
  </si>
  <si>
    <t>EMBOÇO OU MASSA ÚNICA EM ARGAMASSA TRAÇO 1:2:8, PREPARO MECÂNICO COM BETONEIRA 400 L, APLICADA MANUALMENTE EM PANOS CEGOS DE FACHADA (SEM PRESENÇA DE VÃOS), ESPESSURA DE 25 MM. AF_06/2014</t>
  </si>
  <si>
    <t>PONTO DE ILUMINAÇÃO RESIDENCIAL INCLUINDO INTERRUPTOR SIMPLES, CAIXA ELÉTRICA, ELETRODUTO, CABO, RASGO, QUEBRA E CHUMBAMENTO (EXCLUINDO LUMINÁRIA E LÂMPADA). AF_01/2016</t>
  </si>
  <si>
    <t>SINAPI-PE 93128 (JULHO/2020)</t>
  </si>
  <si>
    <t>PONTO DE ILUMINAÇÃO INSTALADO EM TETO OU FORRO, COM ELETRODUTO DE PVC FLEXÍVEL CORRUGADO DE 25 MM (3/4"), CABO DE COBRE ANTI-CHAMA DE 2,5 MM²</t>
  </si>
  <si>
    <t>91854</t>
  </si>
  <si>
    <t>ELETRODUTO FLEXÍVEL CORRUGADO, PVC, DN 25 MM (3/4"), PARA CIRCUITOS TERMINAIS, INSTALADO EM PAREDE - FORNECIMENTO E INSTALAÇÃO. AF_12/2015</t>
  </si>
  <si>
    <t>Código de referência (origem dos coeficientes da composição):</t>
  </si>
  <si>
    <t>Unidade:</t>
  </si>
  <si>
    <t>Custo Unitário:</t>
  </si>
  <si>
    <t>Quantidade:</t>
  </si>
  <si>
    <t>5.2</t>
  </si>
  <si>
    <t>6.4</t>
  </si>
  <si>
    <t>10.2</t>
  </si>
  <si>
    <t>11.3</t>
  </si>
  <si>
    <t>11.4</t>
  </si>
  <si>
    <t>12.2</t>
  </si>
  <si>
    <t>8.3</t>
  </si>
  <si>
    <t>13.2</t>
  </si>
  <si>
    <t>(**) A alíquota de ISS no Município do Brejo da Madre de Deus/PE é de 5% sobre os custos de mão de obra. 
Considerou-se para todos os serviços uma proporção de 40% de mão de obra, de modo que a taxa de ISS a incidir sobre os custos unitários dos itens será de 5% x 40% = 2,00%.</t>
  </si>
  <si>
    <t>10.</t>
  </si>
  <si>
    <t>11.</t>
  </si>
  <si>
    <t>Baldrame</t>
  </si>
  <si>
    <t>3.3</t>
  </si>
  <si>
    <t xml:space="preserve">Sapatas </t>
  </si>
  <si>
    <t>Vigas</t>
  </si>
  <si>
    <t>ADMINISTRAÇÃO</t>
  </si>
  <si>
    <t>Vedações</t>
  </si>
  <si>
    <t>Desconto</t>
  </si>
  <si>
    <t>J01</t>
  </si>
  <si>
    <t>AR</t>
  </si>
  <si>
    <t>TOMADAS</t>
  </si>
  <si>
    <t>DEMAIS</t>
  </si>
  <si>
    <t>LUMINÁRIAS</t>
  </si>
  <si>
    <t>103689</t>
  </si>
  <si>
    <t>FORNECIMENTO E INSTALAÇÃO DE PLACA DE OBRA COM CHAPA GALVANIZADA E ESTRUTURA DE MADEIRA. AF_03/2022_PS</t>
  </si>
  <si>
    <t>Placa da obra</t>
  </si>
  <si>
    <t>ADMINISTRAÇÃO LOCAL DE OBRA</t>
  </si>
  <si>
    <t>93572</t>
  </si>
  <si>
    <t>93567</t>
  </si>
  <si>
    <t>ENCARREGADO GERAL DE OBRAS COM ENCARGOS COMPLEMENTARES</t>
  </si>
  <si>
    <t>MES</t>
  </si>
  <si>
    <t>ENGENHEIRO CIVIL DE OBRA PLENO COM ENCARGOS COMPLEMENTARES</t>
  </si>
  <si>
    <t>94319</t>
  </si>
  <si>
    <t>ATERRO MANUAL DE VALAS COM SOLO ARGILO-ARENOSO. AF_08/2023</t>
  </si>
  <si>
    <t>104737</t>
  </si>
  <si>
    <t>REATERRO MANUAL DE VALAS, COM PLACA VIBRATÓRIA. AF_08/2023</t>
  </si>
  <si>
    <t>92541</t>
  </si>
  <si>
    <t>TRAMA DE MADEIRA COMPOSTA POR RIPAS, CAIBROS E TERÇAS PARA TELHADOS DE ATÉ 2 ÁGUAS PARA TELHA CERÂMICA CAPA-CANAL, INCLUSO TRANSPORTE VERTICAL. AF_07/2019</t>
  </si>
  <si>
    <t>94201</t>
  </si>
  <si>
    <t>TELHAMENTO COM TELHA CERÂMICA CAPA-CANAL, TIPO COLONIAL, COM ATÉ 2 ÁGUAS, INCLUSO TRANSPORTE VERTICAL. AF_07/2019</t>
  </si>
  <si>
    <t>INTERRUPTOR SIMPLES (2 MÓDULOS), 10A/250V, INCLUINDO SUPORTE E PLACA - FORNECIMENTO E INSTALAÇÃO. AF_03/2023</t>
  </si>
  <si>
    <t>PONTO DE INTERRUPTOR COM DOIS MODULOS, CAIXA RETANGULAR 4" X 2", ELETRODUTO DE PVC FLEXÍVEL CORRUGADO DE 25 MM (3/4"), CABO DE COBRE ANTI-CHAMA DE 2,5 MM², RASGO, QUEBRA E CHUMBAMENTO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</si>
  <si>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</si>
  <si>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>COMPOSIÇÃO PARAMÉTRICA DE PONTO ELÉTRICO DE TOMADA DE USO ESPECÍFICO 2P+T (20A/250V) EM EDIFÍCIO RESIDENCIAL COM ELETRODUTO EMBUTIDO EM RASGOS NAS PAREDES, INCLUSO TOMADA, ELETRODUTO, CABO, RASGO, QUEBRA E CHUMBAMENTO (EXCETO CHUVEIRO). AF_11/2022</t>
  </si>
  <si>
    <t xml:space="preserve">LUMINARIA LED REFLETOR RETANGULAR BIVOLT, LUZ BRANCA, 50 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</si>
  <si>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101880</t>
  </si>
  <si>
    <t>QUADRO DE DISTRIBUIÇÃO DE ENERGIA EM CHAPA DE AÇO GALVANIZADO, DE EMBUTIR, COM BARRAMENTO TRIFÁSICO, PARA 30 DISJUNTORES DIN 150A - FORNECIMENTO E INSTALAÇÃO. AF_10/2020</t>
  </si>
  <si>
    <t>área de reboco</t>
  </si>
  <si>
    <t>área de forro</t>
  </si>
  <si>
    <t>desconto da área de ceramica</t>
  </si>
  <si>
    <t>96986</t>
  </si>
  <si>
    <t>HASTE DE ATERRAMENTO, DIÂMETRO 3/4", COM 3 METROS - FORNECIMENTO E INSTALAÇÃO. AF_08/2023</t>
  </si>
  <si>
    <t>quadro</t>
  </si>
  <si>
    <t>97599</t>
  </si>
  <si>
    <t>LUMINÁRIA DE EMERGÊNCIA, COM 30 LÂMPADAS LED DE 2 W, SEM REATOR - FORNECIMENTO E INSTALAÇÃO. AF_02/2020</t>
  </si>
  <si>
    <t>8.4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</si>
  <si>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</si>
  <si>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</si>
  <si>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</si>
  <si>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</si>
  <si>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</si>
  <si>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</si>
  <si>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</si>
  <si>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</si>
  <si>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</si>
  <si>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r>
      <rPr>
        <b/>
        <u/>
        <sz val="8"/>
        <rFont val="Calibri"/>
        <family val="2"/>
      </rPr>
      <t>COM</t>
    </r>
    <r>
      <rPr>
        <b/>
        <sz val="8"/>
        <rFont val="Calibri"/>
        <family val="2"/>
      </rPr>
      <t xml:space="preserve"> DESON</t>
    </r>
  </si>
  <si>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</t>
    </r>
  </si>
  <si>
    <r>
      <t xml:space="preserve">ORÇAMENTO </t>
    </r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DESONERAÇÃO</t>
    </r>
  </si>
  <si>
    <t>Formas de Fundação - PRANCHA 01</t>
  </si>
  <si>
    <t>(pesos de aço devem ser indicados sem perdas, pois o item do SINAPI já contempla as perdas)</t>
  </si>
  <si>
    <t>ARMAÇÃO DE BLOCO, VIGA BALDRAME OU SAPATA UTILIZANDO AÇO CA-50 DE 10 MM - MONTAGEM. AF_06/2017</t>
  </si>
  <si>
    <t>KG</t>
  </si>
  <si>
    <t>qtd de sapatas</t>
  </si>
  <si>
    <t>qtd de lados</t>
  </si>
  <si>
    <t>medida de um lado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</si>
  <si>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</si>
  <si>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</si>
  <si>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CA-60 DE 5,0 MM - MONTAGEM. AF_06/2022</t>
  </si>
  <si>
    <t>igual volume concreto</t>
  </si>
  <si>
    <t>Menos volume de concreto em fundação</t>
  </si>
  <si>
    <t>103670</t>
  </si>
  <si>
    <t>LANÇAMENTO COM USO DE BALDES, ADENSAMENTO E ACABAMENTO DE CONCRETO EM ESTRUTURAS. AF_02/2022</t>
  </si>
  <si>
    <t>FABRICAÇÃO, MONTAGEM E DESMONTAGEM DE FÔRMA PARA VIGA BALDRAME, EM MADEIRA SERRADA, E=25 MM, 4 UTILIZAÇÕES. AF_06/2017</t>
  </si>
  <si>
    <t>MONTAGEM E DESMONTAGEM DE FÔRMA DE PILARES RETANGULARES E ESTRUTURAS SIMILARES, PÉ-DIREITO SIMPLES, EM CHAPA DE MADEIRA COMPENSADA PLASTIFICADA, 12 UTILIZAÇÕES. AF_09/2020</t>
  </si>
  <si>
    <t>MONTAGEM E DESMONTAGEM DE FÔRMA DE VIGA, ESCORAMENTO METÁLICO, PÉ-DIREITO SIMPLES, EM CHAPA DE MADEIRA PLASTIFICADA, 10 UTILIZAÇÕES. AF_09/2020</t>
  </si>
  <si>
    <t>12.</t>
  </si>
  <si>
    <t>13.</t>
  </si>
  <si>
    <r>
      <t xml:space="preserve">BONIFICAÇÃO E DESPESAS INDIRETAS - </t>
    </r>
    <r>
      <rPr>
        <b/>
        <u/>
        <sz val="14"/>
        <rFont val="Calibri"/>
        <family val="2"/>
        <scheme val="minor"/>
      </rPr>
      <t>SEM</t>
    </r>
    <r>
      <rPr>
        <b/>
        <u/>
        <sz val="12"/>
        <rFont val="Calibri"/>
        <family val="2"/>
        <scheme val="minor"/>
      </rPr>
      <t xml:space="preserve"> DESONERAÇÃO</t>
    </r>
  </si>
  <si>
    <r>
      <t xml:space="preserve">De </t>
    </r>
    <r>
      <rPr>
        <b/>
        <sz val="10"/>
        <color theme="1"/>
        <rFont val="Calibri"/>
        <family val="2"/>
        <scheme val="minor"/>
      </rPr>
      <t>3,00%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5,50%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4,00%</t>
    </r>
  </si>
  <si>
    <r>
      <t xml:space="preserve">De </t>
    </r>
    <r>
      <rPr>
        <b/>
        <sz val="10"/>
        <color theme="1"/>
        <rFont val="Calibri"/>
        <family val="2"/>
        <scheme val="minor"/>
      </rPr>
      <t>0,59%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1,39%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1,23%</t>
    </r>
  </si>
  <si>
    <r>
      <t xml:space="preserve">De </t>
    </r>
    <r>
      <rPr>
        <b/>
        <sz val="10"/>
        <color theme="1"/>
        <rFont val="Calibri"/>
        <family val="2"/>
        <scheme val="minor"/>
      </rPr>
      <t>0,97%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1,27%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1,27%</t>
    </r>
  </si>
  <si>
    <r>
      <t xml:space="preserve">De </t>
    </r>
    <r>
      <rPr>
        <b/>
        <sz val="10"/>
        <color theme="1"/>
        <rFont val="Calibri"/>
        <family val="2"/>
        <scheme val="minor"/>
      </rPr>
      <t>0,80%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1,00%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0,80%</t>
    </r>
  </si>
  <si>
    <r>
      <t xml:space="preserve">De </t>
    </r>
    <r>
      <rPr>
        <b/>
        <sz val="10"/>
        <color theme="1"/>
        <rFont val="Calibri"/>
        <family val="2"/>
        <scheme val="minor"/>
      </rPr>
      <t>6,16%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8,96%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7,40%</t>
    </r>
  </si>
  <si>
    <r>
      <t xml:space="preserve">De </t>
    </r>
    <r>
      <rPr>
        <b/>
        <sz val="10"/>
        <color theme="1"/>
        <rFont val="Calibri"/>
        <family val="2"/>
        <scheme val="minor"/>
      </rPr>
      <t>20,34%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25,00%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22,12%</t>
    </r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</si>
  <si>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color rgb="FFFF0000"/>
        <rFont val="Calibri"/>
        <family val="2"/>
        <scheme val="minor"/>
      </rPr>
      <t>desoneradas</t>
    </r>
    <r>
      <rPr>
        <sz val="11"/>
        <color rgb="FFFF0000"/>
        <rFont val="Calibri"/>
        <family val="2"/>
        <scheme val="minor"/>
      </rPr>
      <t xml:space="preserve"> para elaboração do orçamento básico.</t>
    </r>
  </si>
  <si>
    <r>
      <rPr>
        <sz val="12"/>
        <color theme="1"/>
        <rFont val="Calibri"/>
        <family val="2"/>
        <scheme val="minor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Calibri"/>
        <family val="2"/>
        <scheme val="minor"/>
      </rPr>
      <t xml:space="preserve">
</t>
    </r>
  </si>
  <si>
    <t>4º MÊS</t>
  </si>
  <si>
    <t>SAPATAS (100X100)</t>
  </si>
  <si>
    <t>SAPATAS (90X90)</t>
  </si>
  <si>
    <t>SAPATAS (70X70)</t>
  </si>
  <si>
    <t>Ar Condicionado</t>
  </si>
  <si>
    <t>Quadro e Aterramento</t>
  </si>
  <si>
    <t>Geral</t>
  </si>
  <si>
    <t>AR CONDICIONADO</t>
  </si>
  <si>
    <t>VB3</t>
  </si>
  <si>
    <t>VB4</t>
  </si>
  <si>
    <t>VB5</t>
  </si>
  <si>
    <t>VB6</t>
  </si>
  <si>
    <t>VB7</t>
  </si>
  <si>
    <t>VB8</t>
  </si>
  <si>
    <t>VB9</t>
  </si>
  <si>
    <t>VB10</t>
  </si>
  <si>
    <t>VB11</t>
  </si>
  <si>
    <t>VB12</t>
  </si>
  <si>
    <t>VB13</t>
  </si>
  <si>
    <t>VB14</t>
  </si>
  <si>
    <t>VB15</t>
  </si>
  <si>
    <t>VB16</t>
  </si>
  <si>
    <t/>
  </si>
  <si>
    <t>Formas de Fundação de Vigas - PRANCHA 02</t>
  </si>
  <si>
    <t>soma lados</t>
  </si>
  <si>
    <t>Vigas Baldrame</t>
  </si>
  <si>
    <t>CONCRETO FCK = 30MPA, TRAÇO 1:2,1:2,5 (EM MASSA SECA DE CIMENTO/ AREIA MÉDIA/ BRITA 1) - PREPARO MECÂNICO COM BETONEIRA 400 L. AF_05/2021</t>
  </si>
  <si>
    <t>De acordo com a PRANCHA 03 e 04</t>
  </si>
  <si>
    <t>total</t>
  </si>
  <si>
    <t>àrea</t>
  </si>
  <si>
    <t>Laje Térreo</t>
  </si>
  <si>
    <t>ARMAÇÃO DE PILAR OU VIGA DE ESTRUTURA DE CONCRETO ARMADO EMBUTIDA EM ALVENARIA DE VEDAÇÃO UTILIZANDO AÇO CA-50 DE 6,3 MM - MONTAGEM. AF_06/2022</t>
  </si>
  <si>
    <t>Reforço laje</t>
  </si>
  <si>
    <t>PARA REGULARIZAR O TERRENO</t>
  </si>
  <si>
    <t>2X ÁREA DE 1/2 VEZ</t>
  </si>
  <si>
    <t>310,75</t>
  </si>
  <si>
    <t>80,22</t>
  </si>
  <si>
    <t>77,47</t>
  </si>
  <si>
    <t>20,49</t>
  </si>
  <si>
    <t>725,45</t>
  </si>
  <si>
    <t>69,35</t>
  </si>
  <si>
    <t>13,21</t>
  </si>
  <si>
    <t>13,23</t>
  </si>
  <si>
    <t>516,25</t>
  </si>
  <si>
    <t>276,02</t>
  </si>
  <si>
    <t>62,19</t>
  </si>
  <si>
    <t>125,83</t>
  </si>
  <si>
    <t>10,48</t>
  </si>
  <si>
    <t>8,81</t>
  </si>
  <si>
    <t>16,77</t>
  </si>
  <si>
    <t>199,89</t>
  </si>
  <si>
    <t>105022</t>
  </si>
  <si>
    <t>VERGA PRÉ-MOLDADA COM ATÉ 1,5 M DE VÃO, ESPESSURA DE *10* CM. AF_03/2024</t>
  </si>
  <si>
    <t>21,15</t>
  </si>
  <si>
    <t>81,47</t>
  </si>
  <si>
    <t>40,71</t>
  </si>
  <si>
    <t>Revestimento cerâmico para parede, 10 x 10 cm, Elizabeth, linha lux amarelo, aplicado com argamassa industrializada ac-ii, rejuntado, exclusive regularização de base ou emboço - Rev 04</t>
  </si>
  <si>
    <t>ORSE</t>
  </si>
  <si>
    <t>CONTRAPISO EM ARGAMASSA TRAÇO 1:4 (CIMENTO E AREIA), PREPARO MECÂNICO COM BETONEIRA 400 L, APLICADO EM ÁREAS SECAS SOBRE LAJE, ADERIDO, ACABAMENTO NÃO REFORÇADO, ESPESSURA 3CM. AF_07/2021</t>
  </si>
  <si>
    <t>39,89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</si>
  <si>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</si>
  <si>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</si>
  <si>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91,48</t>
  </si>
  <si>
    <t>85,85</t>
  </si>
  <si>
    <t>50,68</t>
  </si>
  <si>
    <t>47,25</t>
  </si>
  <si>
    <t>FUNDO SELADOR ACRÍLICO, APLICAÇÃO MANUAL EM PAREDE, UMA DEMÃO. AF_04/2023</t>
  </si>
  <si>
    <t>Luminária de embutir aberta para lâmpada fluorescente ou tubo led 2 x 18/20 w(tecnolux ref.fle-8157/232 ou similar), completa, com lampada tubo led</t>
  </si>
  <si>
    <t>51,04</t>
  </si>
  <si>
    <t>593,01</t>
  </si>
  <si>
    <t>93655</t>
  </si>
  <si>
    <t>DISJUNTOR MONOPOLAR TIPO DIN, CORRENTE NOMINAL DE 20A - FORNECIMENTO E INSTALAÇÃO. AF_10/2020</t>
  </si>
  <si>
    <t>15,67</t>
  </si>
  <si>
    <t>93657</t>
  </si>
  <si>
    <t>DISJUNTOR MONOPOLAR TIPO DIN, CORRENTE NOMINAL DE 32A - FORNECIMENTO E INSTALAÇÃO. AF_10/2020</t>
  </si>
  <si>
    <t>17,19</t>
  </si>
  <si>
    <t>101894</t>
  </si>
  <si>
    <t>DISJUNTOR TRIPOLAR TIPO NEMA, CORRENTE NOMINAL DE 60 ATÉ 100A - FORNECIMENTO E INSTALAÇÃO. AF_10/2020</t>
  </si>
  <si>
    <t>180,26</t>
  </si>
  <si>
    <t xml:space="preserve">DISPOSITIVO DPS CLASSE II, 1 POLO, TENSAO MAXIMA DE 275 V, CORRENTE MAXIMA DE *45*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</si>
  <si>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215,12</t>
  </si>
  <si>
    <t>Alimentação do Quadro</t>
  </si>
  <si>
    <t>91934</t>
  </si>
  <si>
    <t>CABO DE COBRE FLEXÍVEL ISOLADO, 16 MM², ANTI-CHAMA 450/750 V, PARA CIRCUITOS TERMINAIS - FORNECIMENTO E INSTALAÇÃO. AF_03/2023</t>
  </si>
  <si>
    <t>104678</t>
  </si>
  <si>
    <t>CONJUNTO DE PONTOS DE COLETA DE ESGOTO PARA COZINHA (RAMAL DE ESGOTO SANITÁRIO), EM PVC SÉRIE NORMAL, COM  TUBOS, CONEXÕES, CORTES E FIXAÇÕES EM PRÉDIO. AF_05/2023_PA</t>
  </si>
  <si>
    <t>138,44</t>
  </si>
  <si>
    <t>89865</t>
  </si>
  <si>
    <t>TUBO, PVC, SOLDÁVEL, DN 25MM, INSTALADO EM DRENO DE AR-CONDICIONADO - FORNECIMENTO E INSTALAÇÃO. AF_08/2022</t>
  </si>
  <si>
    <t>101909</t>
  </si>
  <si>
    <t>EXTINTOR DE INCÊNDIO PORTÁTIL COM CARGA DE PQS DE 6 KG, CLASSE BC - FORNECIMENTO E INSTALAÇÃO. AF_10/2020_PE</t>
  </si>
  <si>
    <t>302,69</t>
  </si>
  <si>
    <t>100775</t>
  </si>
  <si>
    <t>ESTRUTURA TRELIÇADA DE COBERTURA, TIPO FINK, COM LIGAÇÕES SOLDADAS, INCLUSOS PERFIS METÁLICOS, CHAPAS METÁLICAS, MÃO DE OBRA E TRANSPORTE COM GUINDASTE - FORNECIMENTO E INSTALAÇÃO. AF_01/2020_PSA</t>
  </si>
  <si>
    <t>101161</t>
  </si>
  <si>
    <t>ALVENARIA DE VEDAÇÃO COM ELEMENTO VAZADO DE CONCRETO (COBOGÓ) DE 7X50X50CM E ARGAMASSA DE ASSENTAMENTO COM PREPARO EM BETONEIRA. AF_05/2020</t>
  </si>
  <si>
    <t>210,90</t>
  </si>
  <si>
    <t>5.512,00</t>
  </si>
  <si>
    <t>6.318,43</t>
  </si>
  <si>
    <t>LOCAL: DISTRITO FAZENDA NOVA- BREJO MADRE DE DEUS/PE.</t>
  </si>
  <si>
    <t>FABRICAÇÃO, MONTAGEM E DESMONTAGEM DE FÔRMA PARA SAPATA, EM MADEIRA SERRADA, E=25 MM, 4 UTILIZAÇÕES. AF_01/2024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</si>
  <si>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</si>
  <si>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</si>
  <si>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</si>
  <si>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</si>
  <si>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</si>
  <si>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</si>
  <si>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</si>
  <si>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</si>
  <si>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</si>
  <si>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</si>
  <si>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</si>
  <si>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</si>
  <si>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</si>
  <si>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</si>
  <si>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V103</t>
  </si>
  <si>
    <t>V105</t>
  </si>
  <si>
    <t>V106</t>
  </si>
  <si>
    <t>V107</t>
  </si>
  <si>
    <t>V108</t>
  </si>
  <si>
    <t>V109</t>
  </si>
  <si>
    <t>V110</t>
  </si>
  <si>
    <t>V111</t>
  </si>
  <si>
    <t>V112</t>
  </si>
  <si>
    <t>10445/SINAPI (FEVEREIRO/2024)</t>
  </si>
  <si>
    <t>CABO DE COBRE FLEXÍVEL ISOLADO, 2,5 MM², ANTI-CHAMA 450/750 V, PARA CIRCUITOS TERMINAIS - FORNECIMENTO E INSTALAÇÃO. AF_03/2023</t>
  </si>
  <si>
    <t>CAIXA RETANGULAR 4" X 2" MÉDIA (1,30 M DO PISO), PVC, INSTALADA EM PAREDE - FORNECIMENTO E INSTALAÇÃO. AF_03/2023</t>
  </si>
  <si>
    <t>CHUMBAMENTO LINEAR EM ALVENARIA PARA RAMAIS/DISTRIBUIÇÃO DE INSTALAÇÕES HIDRÁULICAS COM DIÂMETROS MENORES OU IGUAIS A 40 MM. AF_09/2023</t>
  </si>
  <si>
    <t>91845</t>
  </si>
  <si>
    <t>ELETRODUTO FLEXÍVEL CORRUGADO REFORÇADO, PVC, DN 25 MM (3/4"), PARA CIRCUITOS TERMINAIS, INSTALADO EM LAJE - FORNECIMENTO E INSTALAÇÃO. AF_03/2023</t>
  </si>
  <si>
    <t>91855</t>
  </si>
  <si>
    <t>ELETRODUTO FLEXÍVEL CORRUGADO REFORÇADO, PVC, DN 25 MM (3/4"), PARA CIRCUITOS TERMINAIS, INSTALADO EM PAREDE - FORNECIMENTO E INSTALAÇÃO. AF_03/2023</t>
  </si>
  <si>
    <t>QUEBRA EM ALVENARIA PARA INSTALAÇÃO DE CAIXA DE TOMADA (4X4 OU 4X2). AF_09/2023</t>
  </si>
  <si>
    <t>RASGO LINEAR MANUAL EM ALVENARIA, PARA ELETRODUTOS, DIÂMETROS MENORES OU IGUAIS A 40 MM. AF_09/2023</t>
  </si>
  <si>
    <t>92000</t>
  </si>
  <si>
    <t>TOMADA BAIXA DE EMBUTIR (1 MÓDULO), 2P+T 10 A, INCLUINDO SUPORTE E PLACA - FORNECIMENTO E INSTALAÇÃO. AF_03/2023</t>
  </si>
  <si>
    <t>104476/SINAPI (FEVEREIRO/2024)</t>
  </si>
  <si>
    <t>91997</t>
  </si>
  <si>
    <t>TOMADA MÉDIA DE EMBUTIR (1 MÓDULO), 2P+T 20 A, INCLUINDO SUPORTE E PLACA - FORNECIMENTO E INSTALAÇÃO. AF_03/2023</t>
  </si>
  <si>
    <t>Deduções</t>
  </si>
  <si>
    <t>Janelas</t>
  </si>
  <si>
    <t>Portas</t>
  </si>
  <si>
    <t>VIDE PRANCHA DE ESTRUTURA METÁLICA</t>
  </si>
  <si>
    <t>100665</t>
  </si>
  <si>
    <t>JANELA DE MADEIRA - CEDRINHO/ANGELIM OU EQUIVALENTE DA REGIÃO - DE ABRIR COM 4 FOLHAS (2 VENEZIANAS E 2 GUILHOTINAS PARA VIDRO), COM BATENTE, ALIZAR E FERRAGENS. EXCLUSIVE VIDROS, ACABAMENTO E CONTRAMARCO. FORNECIMENTO E INSTALAÇÃO. AF_12/2019</t>
  </si>
  <si>
    <t>1.192,26</t>
  </si>
  <si>
    <t>REFLETORES</t>
  </si>
  <si>
    <t>02</t>
  </si>
  <si>
    <t>19.073,38</t>
  </si>
  <si>
    <t>22.082,95</t>
  </si>
  <si>
    <r>
      <t xml:space="preserve">FONTES DE PREÇOS: SINAPI MAIO/2024, ORSE MAIO/2024, SEINFRA 028 E COMPOSIÇÕES - </t>
    </r>
    <r>
      <rPr>
        <b/>
        <u/>
        <sz val="10"/>
        <rFont val="Calibri"/>
        <family val="2"/>
      </rPr>
      <t>SEM</t>
    </r>
    <r>
      <rPr>
        <b/>
        <sz val="10"/>
        <rFont val="Calibri"/>
        <family val="2"/>
      </rPr>
      <t xml:space="preserve"> DESONERAÇÃO - BDI ADOTADO: 20,50%</t>
    </r>
  </si>
  <si>
    <t>4.3</t>
  </si>
  <si>
    <t>4.4</t>
  </si>
  <si>
    <t>4.5</t>
  </si>
  <si>
    <t>4.6</t>
  </si>
  <si>
    <t>4.7</t>
  </si>
  <si>
    <t>5.5</t>
  </si>
  <si>
    <t>5.6</t>
  </si>
  <si>
    <t>5.7</t>
  </si>
  <si>
    <t>5.8</t>
  </si>
  <si>
    <t>5.9</t>
  </si>
  <si>
    <t>5.10</t>
  </si>
  <si>
    <t>6.5</t>
  </si>
  <si>
    <t>9.2</t>
  </si>
  <si>
    <t>11.14</t>
  </si>
  <si>
    <t xml:space="preserve">PLACA DE INAUGURACAO METALICA, *40* CM X *60*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</si>
  <si>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753,75</t>
  </si>
  <si>
    <t>REFEITÓRIO</t>
  </si>
  <si>
    <t>PÁTIO EXTERNO REFEITÓRIO</t>
  </si>
  <si>
    <t>Massa Nominal (KG/M)</t>
  </si>
  <si>
    <t>S11</t>
  </si>
  <si>
    <t>S12</t>
  </si>
  <si>
    <t>S13</t>
  </si>
  <si>
    <t>S14</t>
  </si>
  <si>
    <t>S15</t>
  </si>
  <si>
    <t>S26</t>
  </si>
  <si>
    <t>S27</t>
  </si>
  <si>
    <t>S28</t>
  </si>
  <si>
    <t>S29</t>
  </si>
  <si>
    <t>S30</t>
  </si>
  <si>
    <t>S40</t>
  </si>
  <si>
    <t>S41</t>
  </si>
  <si>
    <t>S42</t>
  </si>
  <si>
    <t>S48</t>
  </si>
  <si>
    <t>S49</t>
  </si>
  <si>
    <t>S50</t>
  </si>
  <si>
    <t>S51</t>
  </si>
  <si>
    <t>S52</t>
  </si>
  <si>
    <t>S62</t>
  </si>
  <si>
    <t>S63</t>
  </si>
  <si>
    <t>S64</t>
  </si>
  <si>
    <t>S65</t>
  </si>
  <si>
    <t>S66</t>
  </si>
  <si>
    <t>S67</t>
  </si>
  <si>
    <t>S68</t>
  </si>
  <si>
    <t>S76</t>
  </si>
  <si>
    <t>S77</t>
  </si>
  <si>
    <t>S78</t>
  </si>
  <si>
    <t>S83</t>
  </si>
  <si>
    <t>S84</t>
  </si>
  <si>
    <t>S85</t>
  </si>
  <si>
    <t>Tronco de pirâmide</t>
  </si>
  <si>
    <t>Larguras e Comprimentos das Seções iniciais e finais</t>
  </si>
  <si>
    <t>L1</t>
  </si>
  <si>
    <t>C1</t>
  </si>
  <si>
    <t>L2</t>
  </si>
  <si>
    <t>C2</t>
  </si>
  <si>
    <t>Qtd.</t>
  </si>
  <si>
    <t>A1</t>
  </si>
  <si>
    <t>A2</t>
  </si>
  <si>
    <t>h</t>
  </si>
  <si>
    <t>Volume:</t>
  </si>
  <si>
    <t>Pescoço de Pilar</t>
  </si>
  <si>
    <t>PILARES (20X40)</t>
  </si>
  <si>
    <t>PILARES (20X30)</t>
  </si>
  <si>
    <t>PILARES (15X30)</t>
  </si>
  <si>
    <t>PILARES (20X50)</t>
  </si>
  <si>
    <t>PAREI AQUI!!!</t>
  </si>
  <si>
    <t>P11</t>
  </si>
  <si>
    <t>P12</t>
  </si>
  <si>
    <t>P13</t>
  </si>
  <si>
    <t>P14</t>
  </si>
  <si>
    <t>P15</t>
  </si>
  <si>
    <t>P26</t>
  </si>
  <si>
    <t>P27</t>
  </si>
  <si>
    <t>P28</t>
  </si>
  <si>
    <t>P29</t>
  </si>
  <si>
    <t>P30</t>
  </si>
  <si>
    <t>P40</t>
  </si>
  <si>
    <t>P41</t>
  </si>
  <si>
    <t>P42</t>
  </si>
  <si>
    <t>P48</t>
  </si>
  <si>
    <t>P49</t>
  </si>
  <si>
    <t>P50</t>
  </si>
  <si>
    <t>P51</t>
  </si>
  <si>
    <t>P52</t>
  </si>
  <si>
    <t>P62</t>
  </si>
  <si>
    <t>P63</t>
  </si>
  <si>
    <t>P64</t>
  </si>
  <si>
    <t>P65</t>
  </si>
  <si>
    <t>P66</t>
  </si>
  <si>
    <t>P67</t>
  </si>
  <si>
    <t>P68</t>
  </si>
  <si>
    <t>P76</t>
  </si>
  <si>
    <t>P77</t>
  </si>
  <si>
    <t>P78</t>
  </si>
  <si>
    <t>P83</t>
  </si>
  <si>
    <t>P84</t>
  </si>
  <si>
    <t>P85</t>
  </si>
  <si>
    <t>P27, P29</t>
  </si>
  <si>
    <t>P 28</t>
  </si>
  <si>
    <t>VIGAS</t>
  </si>
  <si>
    <t>Refeitório</t>
  </si>
  <si>
    <t>Porta</t>
  </si>
  <si>
    <t>janelas</t>
  </si>
  <si>
    <t>Cobogós</t>
  </si>
  <si>
    <t>Pátio externo refeitório 1</t>
  </si>
  <si>
    <t>PORTA EM ALUMÍNIO DE ABRIR TIPO VENEZIANA COM GUARNIÇÃO, FIXAÇÃO COM PARAFUSOS - FORNECIMENTO E INSTALAÇÃO. AF_12/2019</t>
  </si>
  <si>
    <t>S11=S12=S13=S14=S15=S27=S29=S49=S51=S53</t>
  </si>
  <si>
    <t>S62=S63=S65=S67</t>
  </si>
  <si>
    <t>S26=S28=S30=S40=S41=S42=S48=S50=S52=S54=S64=S66=S68=S76=S77=S78=S79=S83=S84=S85</t>
  </si>
  <si>
    <t>S53</t>
  </si>
  <si>
    <t>S54</t>
  </si>
  <si>
    <t>P11, P12, P13, P14, P15, P49, P51, P53</t>
  </si>
  <si>
    <t>P62, P63, P65, P67</t>
  </si>
  <si>
    <t>P26, P30, P40, P41, P42, P48, P50, P52, P54</t>
  </si>
  <si>
    <t>P64, P66, P68, P78, P85</t>
  </si>
  <si>
    <t>P76, P77, P83, P84</t>
  </si>
  <si>
    <t>P53</t>
  </si>
  <si>
    <t>P54</t>
  </si>
  <si>
    <t>Pátio Refeitório</t>
  </si>
  <si>
    <t>OBRA: AMPLIAÇÃO DA ESCOLA MUNICIPAL EPAMINONDAS MENDONÇA - LOTE 01</t>
  </si>
  <si>
    <t>DATA BASE: AGOSTO/2024</t>
  </si>
  <si>
    <t>03</t>
  </si>
  <si>
    <t>04</t>
  </si>
  <si>
    <t>05</t>
  </si>
  <si>
    <t>A</t>
  </si>
  <si>
    <t>B</t>
  </si>
  <si>
    <t>C</t>
  </si>
  <si>
    <t>LOTE 01 - REFEITÓRIO E PÁTIO EXTERNO DO REFEITÓRIO</t>
  </si>
  <si>
    <t>COMPOSIÇÃO DE ENCARGOS SOCIAIS SOBRE A MÃO DE OBRA</t>
  </si>
  <si>
    <t>ESTADO DE PERNAMBUCO - SEM DESONERAÇÃO</t>
  </si>
  <si>
    <t>COM DESONERAÇÃO</t>
  </si>
  <si>
    <t>SEM DESONERAÇÃO</t>
  </si>
  <si>
    <t>HORISTA (%)</t>
  </si>
  <si>
    <t>MENSALISTA (%)</t>
  </si>
  <si>
    <t>GRUPO A</t>
  </si>
  <si>
    <t>INSS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</si>
  <si>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</si>
  <si>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</si>
  <si>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</si>
  <si>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</si>
  <si>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</si>
  <si>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</si>
  <si>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</si>
  <si>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</si>
  <si>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</si>
  <si>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</si>
  <si>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</si>
  <si>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</si>
  <si>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</si>
  <si>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</si>
  <si>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</si>
  <si>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</si>
  <si>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</si>
  <si>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</si>
  <si>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</si>
  <si>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</si>
  <si>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</si>
  <si>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</si>
  <si>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</si>
  <si>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</si>
  <si>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</si>
  <si>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</si>
  <si>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</si>
  <si>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</si>
  <si>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</si>
  <si>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</si>
  <si>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</si>
  <si>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</si>
  <si>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</si>
  <si>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</si>
  <si>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</si>
  <si>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</si>
  <si>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</si>
  <si>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Aviso Prévio Indenizado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</si>
  <si>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</si>
  <si>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</si>
  <si>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</si>
  <si>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</si>
  <si>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</si>
  <si>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</si>
  <si>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</si>
  <si>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GRUPO D</t>
  </si>
  <si>
    <t>D1</t>
  </si>
  <si>
    <t>Reincidência de Grupo A sobre Grupo B</t>
  </si>
  <si>
    <t>D2</t>
  </si>
  <si>
    <t>Reincidência de Grupo A sobre Aviso Prévio Trabalhado 
e Reincidência do FGTS sobre Aviso Prévio Indenizado</t>
  </si>
  <si>
    <t>D</t>
  </si>
  <si>
    <t>TOTAL GERAL (A+B+C+D)</t>
  </si>
  <si>
    <t>ITEM 01 - REFEITÓRIO E PÁTIO EXTERNO DO REFEITÓRIO</t>
  </si>
  <si>
    <t>OBRA: AMPLIAÇÃO DA ESCOLA MUNICIPAL EPAMINONDAS MENDONÇA - ITEM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</si>
</sst>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 &quot;R$&quot;\ * #,##0.00_ ;_ &quot;R$&quot;\ * \-#,##0.00_ ;_ &quot;R$&quot;\ * &quot;-&quot;??_ ;_ @_ "/>
    <numFmt numFmtId="167" formatCode="_ * #,##0.00_ ;_ * \-#,##0.00_ ;_ * &quot;-&quot;??_ ;_ @_ "/>
    <numFmt numFmtId="168" formatCode="0.0%"/>
    <numFmt numFmtId="169" formatCode="0.000"/>
    <numFmt numFmtId="170" formatCode="_(* #,##0.00_);_(* \(#,##0.00\);_(* \-??_);_(@_)"/>
    <numFmt numFmtId="171" formatCode="0000"/>
    <numFmt numFmtId="172" formatCode="&quot;R$&quot;\ #,##0.00"/>
    <numFmt numFmtId="173" formatCode="0.0000"/>
    <numFmt numFmtId="174" formatCode="0.00000"/>
    <numFmt numFmtId="175" formatCode="#,##0.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8"/>
      <name val="Calibri"/>
      <family val="2"/>
    </font>
    <font>
      <b/>
      <u/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8"/>
      <color rgb="FF002060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sz val="5"/>
      <color rgb="FFFF0000"/>
      <name val="Calibri"/>
      <family val="2"/>
    </font>
    <font>
      <b/>
      <sz val="9"/>
      <name val="Calibri"/>
      <family val="2"/>
    </font>
    <font>
      <b/>
      <i/>
      <sz val="8"/>
      <name val="Calibri"/>
      <family val="2"/>
    </font>
    <font>
      <b/>
      <i/>
      <sz val="9"/>
      <name val="Calibri"/>
      <family val="2"/>
    </font>
    <font>
      <sz val="7"/>
      <color theme="0" tint="-0.14999847407452621"/>
      <name val="Calibri"/>
      <family val="2"/>
    </font>
    <font>
      <b/>
      <sz val="8"/>
      <color rgb="FF002060"/>
      <name val="Calibri"/>
      <family val="2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b/>
      <sz val="13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" fillId="0" borderId="0"/>
    <xf numFmtId="170" fontId="2" fillId="0" borderId="0" applyFill="0" applyBorder="0" applyAlignment="0" applyProtection="0"/>
    <xf numFmtId="0" fontId="13" fillId="0" borderId="0"/>
    <xf numFmtId="17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2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395">
    <xf numFmtId="0" fontId="0" fillId="0" borderId="0" xfId="0"/>
    <xf numFmtId="0" fontId="8" fillId="0" borderId="0" xfId="0" applyFont="1"/>
    <xf numFmtId="171" fontId="11" fillId="8" borderId="1" xfId="9" applyNumberFormat="1" applyFont="1" applyFill="1" applyBorder="1" applyAlignment="1">
      <alignment horizontal="justify" vertical="distributed" wrapText="1"/>
    </xf>
    <xf numFmtId="165" fontId="10" fillId="8" borderId="1" xfId="9" applyFont="1" applyFill="1" applyBorder="1" applyAlignment="1">
      <alignment horizontal="justify" vertical="distributed" wrapText="1"/>
    </xf>
    <xf numFmtId="165" fontId="10" fillId="8" borderId="38" xfId="9" applyFont="1" applyFill="1" applyBorder="1" applyAlignment="1">
      <alignment horizontal="justify" vertical="distributed" wrapText="1"/>
    </xf>
    <xf numFmtId="0" fontId="11" fillId="0" borderId="0" xfId="0" applyFont="1"/>
    <xf numFmtId="0" fontId="18" fillId="0" borderId="0" xfId="2" applyFont="1" applyAlignment="1">
      <alignment horizontal="center" vertical="top"/>
    </xf>
    <xf numFmtId="0" fontId="9" fillId="0" borderId="0" xfId="2" applyFont="1" applyAlignment="1">
      <alignment horizontal="right" vertical="justify"/>
    </xf>
    <xf numFmtId="0" fontId="9" fillId="0" borderId="0" xfId="2" applyFont="1" applyAlignment="1">
      <alignment horizontal="center"/>
    </xf>
    <xf numFmtId="4" fontId="9" fillId="0" borderId="0" xfId="2" applyNumberFormat="1" applyFont="1" applyAlignment="1">
      <alignment horizontal="center"/>
    </xf>
    <xf numFmtId="0" fontId="9" fillId="0" borderId="0" xfId="0" applyFont="1"/>
    <xf numFmtId="0" fontId="19" fillId="0" borderId="6" xfId="2" applyFont="1" applyBorder="1" applyAlignment="1">
      <alignment horizontal="center"/>
    </xf>
    <xf numFmtId="0" fontId="9" fillId="0" borderId="6" xfId="0" applyFont="1" applyBorder="1"/>
    <xf numFmtId="4" fontId="9" fillId="0" borderId="6" xfId="0" applyNumberFormat="1" applyFont="1" applyBorder="1"/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20" fillId="0" borderId="0" xfId="2" applyFont="1" applyAlignment="1">
      <alignment horizontal="left" wrapText="1"/>
    </xf>
    <xf numFmtId="4" fontId="20" fillId="0" borderId="0" xfId="2" applyNumberFormat="1" applyFont="1" applyAlignment="1">
      <alignment horizontal="left" wrapText="1"/>
    </xf>
    <xf numFmtId="0" fontId="21" fillId="0" borderId="0" xfId="0" applyFont="1"/>
    <xf numFmtId="4" fontId="18" fillId="2" borderId="1" xfId="2" applyNumberFormat="1" applyFont="1" applyFill="1" applyBorder="1" applyAlignment="1">
      <alignment horizontal="center"/>
    </xf>
    <xf numFmtId="4" fontId="20" fillId="0" borderId="0" xfId="2" applyNumberFormat="1" applyFont="1" applyAlignment="1">
      <alignment horizontal="center"/>
    </xf>
    <xf numFmtId="10" fontId="18" fillId="2" borderId="1" xfId="1" applyNumberFormat="1" applyFont="1" applyFill="1" applyBorder="1" applyAlignment="1">
      <alignment horizontal="center"/>
    </xf>
    <xf numFmtId="0" fontId="20" fillId="0" borderId="0" xfId="2" applyFont="1" applyAlignment="1">
      <alignment horizontal="left" vertical="top"/>
    </xf>
    <xf numFmtId="0" fontId="18" fillId="2" borderId="0" xfId="0" applyFont="1" applyFill="1" applyAlignment="1">
      <alignment horizontal="center" vertical="center"/>
    </xf>
    <xf numFmtId="0" fontId="18" fillId="0" borderId="31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justify"/>
    </xf>
    <xf numFmtId="0" fontId="18" fillId="0" borderId="32" xfId="2" applyFont="1" applyBorder="1" applyAlignment="1">
      <alignment horizontal="center"/>
    </xf>
    <xf numFmtId="4" fontId="9" fillId="0" borderId="33" xfId="2" applyNumberFormat="1" applyFont="1" applyBorder="1" applyAlignment="1">
      <alignment horizontal="center"/>
    </xf>
    <xf numFmtId="4" fontId="9" fillId="0" borderId="31" xfId="2" applyNumberFormat="1" applyFont="1" applyBorder="1" applyAlignment="1">
      <alignment horizontal="center"/>
    </xf>
    <xf numFmtId="4" fontId="9" fillId="0" borderId="32" xfId="2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9" xfId="2" applyFont="1" applyBorder="1" applyAlignment="1">
      <alignment horizontal="center" vertical="top"/>
    </xf>
    <xf numFmtId="0" fontId="18" fillId="0" borderId="1" xfId="2" applyFont="1" applyBorder="1" applyAlignment="1">
      <alignment horizontal="center"/>
    </xf>
    <xf numFmtId="4" fontId="9" fillId="0" borderId="1" xfId="2" applyNumberFormat="1" applyFont="1" applyBorder="1" applyAlignment="1">
      <alignment horizontal="center"/>
    </xf>
    <xf numFmtId="0" fontId="17" fillId="0" borderId="0" xfId="0" applyFont="1"/>
    <xf numFmtId="4" fontId="17" fillId="0" borderId="0" xfId="0" applyNumberFormat="1" applyFont="1"/>
    <xf numFmtId="0" fontId="18" fillId="0" borderId="0" xfId="2" applyFont="1" applyAlignment="1">
      <alignment horizontal="center"/>
    </xf>
    <xf numFmtId="4" fontId="18" fillId="0" borderId="0" xfId="2" applyNumberFormat="1" applyFont="1" applyAlignment="1">
      <alignment horizontal="center"/>
    </xf>
    <xf numFmtId="0" fontId="9" fillId="0" borderId="1" xfId="2" applyFont="1" applyBorder="1" applyAlignment="1">
      <alignment horizontal="center"/>
    </xf>
    <xf numFmtId="0" fontId="18" fillId="0" borderId="1" xfId="2" applyFont="1" applyBorder="1" applyAlignment="1">
      <alignment horizontal="right" vertical="justify"/>
    </xf>
    <xf numFmtId="0" fontId="18" fillId="0" borderId="0" xfId="0" applyFont="1"/>
    <xf numFmtId="0" fontId="27" fillId="0" borderId="0" xfId="0" applyFont="1"/>
    <xf numFmtId="4" fontId="18" fillId="2" borderId="12" xfId="2" applyNumberFormat="1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18" fillId="0" borderId="56" xfId="2" applyFont="1" applyBorder="1" applyAlignment="1">
      <alignment horizontal="right" vertical="top"/>
    </xf>
    <xf numFmtId="0" fontId="18" fillId="0" borderId="0" xfId="2" applyFont="1" applyAlignment="1">
      <alignment horizontal="left" vertical="justify"/>
    </xf>
    <xf numFmtId="0" fontId="18" fillId="0" borderId="58" xfId="2" applyFont="1" applyBorder="1" applyAlignment="1">
      <alignment horizontal="center"/>
    </xf>
    <xf numFmtId="4" fontId="18" fillId="0" borderId="12" xfId="2" applyNumberFormat="1" applyFont="1" applyBorder="1" applyAlignment="1">
      <alignment horizontal="center"/>
    </xf>
    <xf numFmtId="4" fontId="18" fillId="0" borderId="58" xfId="2" applyNumberFormat="1" applyFont="1" applyBorder="1" applyAlignment="1">
      <alignment horizontal="center"/>
    </xf>
    <xf numFmtId="0" fontId="18" fillId="7" borderId="12" xfId="2" applyFont="1" applyFill="1" applyBorder="1" applyAlignment="1">
      <alignment horizontal="right" vertical="top"/>
    </xf>
    <xf numFmtId="0" fontId="18" fillId="7" borderId="14" xfId="2" applyFont="1" applyFill="1" applyBorder="1" applyAlignment="1">
      <alignment horizontal="left" vertical="justify"/>
    </xf>
    <xf numFmtId="4" fontId="18" fillId="7" borderId="12" xfId="2" applyNumberFormat="1" applyFont="1" applyFill="1" applyBorder="1" applyAlignment="1">
      <alignment horizontal="center"/>
    </xf>
    <xf numFmtId="4" fontId="18" fillId="7" borderId="14" xfId="2" applyNumberFormat="1" applyFont="1" applyFill="1" applyBorder="1" applyAlignment="1">
      <alignment horizontal="center"/>
    </xf>
    <xf numFmtId="4" fontId="18" fillId="0" borderId="59" xfId="2" applyNumberFormat="1" applyFont="1" applyBorder="1" applyAlignment="1">
      <alignment horizontal="center"/>
    </xf>
    <xf numFmtId="43" fontId="18" fillId="3" borderId="1" xfId="2" applyNumberFormat="1" applyFont="1" applyFill="1" applyBorder="1" applyAlignment="1">
      <alignment horizontal="center"/>
    </xf>
    <xf numFmtId="10" fontId="29" fillId="7" borderId="12" xfId="1" applyNumberFormat="1" applyFont="1" applyFill="1" applyBorder="1" applyAlignment="1">
      <alignment horizontal="center"/>
    </xf>
    <xf numFmtId="10" fontId="30" fillId="7" borderId="14" xfId="1" applyNumberFormat="1" applyFont="1" applyFill="1" applyBorder="1" applyAlignment="1">
      <alignment horizontal="center"/>
    </xf>
    <xf numFmtId="0" fontId="31" fillId="0" borderId="56" xfId="2" applyFont="1" applyBorder="1" applyAlignment="1">
      <alignment horizontal="right" vertical="top"/>
    </xf>
    <xf numFmtId="0" fontId="31" fillId="0" borderId="0" xfId="2" applyFont="1" applyAlignment="1">
      <alignment horizontal="left" vertical="justify"/>
    </xf>
    <xf numFmtId="0" fontId="31" fillId="0" borderId="59" xfId="2" applyFont="1" applyBorder="1" applyAlignment="1">
      <alignment horizontal="center"/>
    </xf>
    <xf numFmtId="4" fontId="31" fillId="0" borderId="48" xfId="2" applyNumberFormat="1" applyFont="1" applyBorder="1" applyAlignment="1">
      <alignment horizontal="center"/>
    </xf>
    <xf numFmtId="4" fontId="31" fillId="0" borderId="59" xfId="2" applyNumberFormat="1" applyFont="1" applyBorder="1" applyAlignment="1">
      <alignment horizontal="center"/>
    </xf>
    <xf numFmtId="0" fontId="32" fillId="0" borderId="0" xfId="0" applyFont="1"/>
    <xf numFmtId="10" fontId="30" fillId="0" borderId="59" xfId="1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top" wrapText="1"/>
    </xf>
    <xf numFmtId="4" fontId="31" fillId="0" borderId="56" xfId="2" applyNumberFormat="1" applyFont="1" applyBorder="1" applyAlignment="1">
      <alignment horizontal="center"/>
    </xf>
    <xf numFmtId="4" fontId="18" fillId="0" borderId="56" xfId="2" applyNumberFormat="1" applyFont="1" applyBorder="1" applyAlignment="1">
      <alignment horizontal="center"/>
    </xf>
    <xf numFmtId="10" fontId="30" fillId="7" borderId="12" xfId="1" applyNumberFormat="1" applyFont="1" applyFill="1" applyBorder="1" applyAlignment="1">
      <alignment horizontal="center"/>
    </xf>
    <xf numFmtId="0" fontId="33" fillId="0" borderId="0" xfId="2" applyFont="1" applyAlignment="1">
      <alignment horizontal="left" vertical="justify"/>
    </xf>
    <xf numFmtId="0" fontId="33" fillId="0" borderId="59" xfId="2" applyFont="1" applyBorder="1" applyAlignment="1">
      <alignment horizontal="center"/>
    </xf>
    <xf numFmtId="0" fontId="31" fillId="0" borderId="60" xfId="2" applyFont="1" applyBorder="1" applyAlignment="1">
      <alignment horizontal="center"/>
    </xf>
    <xf numFmtId="10" fontId="29" fillId="7" borderId="14" xfId="1" applyNumberFormat="1" applyFont="1" applyFill="1" applyBorder="1" applyAlignment="1">
      <alignment horizontal="center"/>
    </xf>
    <xf numFmtId="0" fontId="18" fillId="0" borderId="5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0" fontId="30" fillId="0" borderId="0" xfId="1" applyNumberFormat="1" applyFont="1" applyFill="1" applyBorder="1" applyAlignment="1">
      <alignment horizontal="center"/>
    </xf>
    <xf numFmtId="4" fontId="18" fillId="0" borderId="49" xfId="2" applyNumberFormat="1" applyFont="1" applyBorder="1" applyAlignment="1">
      <alignment horizontal="center"/>
    </xf>
    <xf numFmtId="10" fontId="30" fillId="0" borderId="60" xfId="1" applyNumberFormat="1" applyFont="1" applyFill="1" applyBorder="1" applyAlignment="1">
      <alignment horizontal="center"/>
    </xf>
    <xf numFmtId="10" fontId="30" fillId="0" borderId="57" xfId="1" applyNumberFormat="1" applyFont="1" applyFill="1" applyBorder="1" applyAlignment="1">
      <alignment horizontal="center"/>
    </xf>
    <xf numFmtId="0" fontId="18" fillId="0" borderId="57" xfId="0" applyFont="1" applyBorder="1"/>
    <xf numFmtId="0" fontId="34" fillId="2" borderId="0" xfId="0" applyFont="1" applyFill="1"/>
    <xf numFmtId="4" fontId="18" fillId="4" borderId="1" xfId="2" applyNumberFormat="1" applyFont="1" applyFill="1" applyBorder="1" applyAlignment="1">
      <alignment horizontal="center"/>
    </xf>
    <xf numFmtId="165" fontId="18" fillId="4" borderId="1" xfId="2" applyNumberFormat="1" applyFont="1" applyFill="1" applyBorder="1" applyAlignment="1">
      <alignment horizontal="center"/>
    </xf>
    <xf numFmtId="4" fontId="27" fillId="0" borderId="0" xfId="0" applyNumberFormat="1" applyFont="1"/>
    <xf numFmtId="43" fontId="18" fillId="7" borderId="1" xfId="12" applyFont="1" applyFill="1" applyBorder="1" applyAlignment="1">
      <alignment horizontal="center"/>
    </xf>
    <xf numFmtId="43" fontId="37" fillId="0" borderId="0" xfId="0" applyNumberFormat="1" applyFont="1"/>
    <xf numFmtId="4" fontId="38" fillId="4" borderId="1" xfId="2" applyNumberFormat="1" applyFont="1" applyFill="1" applyBorder="1" applyAlignment="1">
      <alignment horizontal="center"/>
    </xf>
    <xf numFmtId="165" fontId="10" fillId="8" borderId="46" xfId="9" applyFont="1" applyFill="1" applyBorder="1" applyAlignment="1">
      <alignment vertical="distributed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6" fillId="0" borderId="0" xfId="0" applyFont="1"/>
    <xf numFmtId="0" fontId="43" fillId="0" borderId="0" xfId="0" applyFont="1" applyAlignment="1">
      <alignment horizont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24" fillId="6" borderId="12" xfId="0" applyFont="1" applyFill="1" applyBorder="1"/>
    <xf numFmtId="0" fontId="24" fillId="6" borderId="12" xfId="0" applyFont="1" applyFill="1" applyBorder="1" applyAlignment="1">
      <alignment horizontal="center"/>
    </xf>
    <xf numFmtId="0" fontId="44" fillId="0" borderId="12" xfId="0" applyFont="1" applyBorder="1" applyAlignment="1">
      <alignment horizontal="left"/>
    </xf>
    <xf numFmtId="0" fontId="24" fillId="0" borderId="13" xfId="0" applyFont="1" applyBorder="1"/>
    <xf numFmtId="0" fontId="24" fillId="0" borderId="13" xfId="0" applyFont="1" applyBorder="1" applyAlignment="1">
      <alignment horizontal="center"/>
    </xf>
    <xf numFmtId="0" fontId="24" fillId="0" borderId="12" xfId="0" applyFont="1" applyBorder="1"/>
    <xf numFmtId="0" fontId="24" fillId="0" borderId="12" xfId="0" applyFont="1" applyBorder="1" applyAlignment="1">
      <alignment horizontal="center"/>
    </xf>
    <xf numFmtId="10" fontId="16" fillId="5" borderId="12" xfId="1" applyNumberFormat="1" applyFont="1" applyFill="1" applyBorder="1" applyAlignment="1">
      <alignment horizontal="center"/>
    </xf>
    <xf numFmtId="0" fontId="39" fillId="0" borderId="12" xfId="0" applyFont="1" applyBorder="1"/>
    <xf numFmtId="2" fontId="45" fillId="0" borderId="12" xfId="0" applyNumberFormat="1" applyFont="1" applyBorder="1" applyAlignment="1">
      <alignment horizontal="center"/>
    </xf>
    <xf numFmtId="10" fontId="45" fillId="0" borderId="12" xfId="1" applyNumberFormat="1" applyFont="1" applyBorder="1" applyAlignment="1">
      <alignment horizontal="center"/>
    </xf>
    <xf numFmtId="0" fontId="24" fillId="0" borderId="12" xfId="19" applyFont="1" applyBorder="1"/>
    <xf numFmtId="0" fontId="24" fillId="0" borderId="12" xfId="19" applyFont="1" applyBorder="1" applyAlignment="1">
      <alignment horizontal="center"/>
    </xf>
    <xf numFmtId="10" fontId="16" fillId="5" borderId="12" xfId="26" applyNumberFormat="1" applyFont="1" applyFill="1" applyBorder="1" applyAlignment="1">
      <alignment horizontal="center"/>
    </xf>
    <xf numFmtId="0" fontId="39" fillId="0" borderId="12" xfId="0" applyFont="1" applyBorder="1" applyAlignment="1">
      <alignment vertical="center"/>
    </xf>
    <xf numFmtId="10" fontId="16" fillId="0" borderId="12" xfId="1" applyNumberFormat="1" applyFont="1" applyBorder="1" applyAlignment="1">
      <alignment horizontal="center"/>
    </xf>
    <xf numFmtId="169" fontId="46" fillId="0" borderId="0" xfId="0" applyNumberFormat="1" applyFont="1" applyAlignment="1">
      <alignment horizontal="left"/>
    </xf>
    <xf numFmtId="10" fontId="16" fillId="0" borderId="13" xfId="1" applyNumberFormat="1" applyFont="1" applyFill="1" applyBorder="1" applyAlignment="1">
      <alignment horizontal="center"/>
    </xf>
    <xf numFmtId="0" fontId="24" fillId="6" borderId="14" xfId="0" applyFont="1" applyFill="1" applyBorder="1"/>
    <xf numFmtId="0" fontId="0" fillId="6" borderId="15" xfId="0" applyFill="1" applyBorder="1" applyAlignment="1">
      <alignment horizontal="center"/>
    </xf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5" fillId="0" borderId="19" xfId="0" applyFont="1" applyBorder="1"/>
    <xf numFmtId="0" fontId="25" fillId="0" borderId="0" xfId="0" applyFont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/>
    <xf numFmtId="0" fontId="25" fillId="0" borderId="21" xfId="0" applyFont="1" applyBorder="1"/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16" fillId="0" borderId="0" xfId="0" applyFont="1"/>
    <xf numFmtId="0" fontId="50" fillId="0" borderId="0" xfId="0" applyFont="1" applyAlignment="1">
      <alignment horizontal="center"/>
    </xf>
    <xf numFmtId="0" fontId="25" fillId="0" borderId="0" xfId="6" applyFont="1"/>
    <xf numFmtId="0" fontId="52" fillId="0" borderId="12" xfId="0" applyFont="1" applyBorder="1" applyAlignment="1">
      <alignment wrapText="1"/>
    </xf>
    <xf numFmtId="43" fontId="35" fillId="15" borderId="12" xfId="12" applyFont="1" applyFill="1" applyBorder="1" applyAlignment="1">
      <alignment horizontal="center"/>
    </xf>
    <xf numFmtId="168" fontId="36" fillId="15" borderId="12" xfId="1" applyNumberFormat="1" applyFont="1" applyFill="1" applyBorder="1" applyAlignment="1">
      <alignment horizontal="center"/>
    </xf>
    <xf numFmtId="0" fontId="18" fillId="0" borderId="56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10" fontId="30" fillId="0" borderId="0" xfId="1" applyNumberFormat="1" applyFont="1" applyFill="1" applyBorder="1" applyAlignment="1">
      <alignment horizontal="right"/>
    </xf>
    <xf numFmtId="0" fontId="18" fillId="0" borderId="0" xfId="2" applyFont="1" applyAlignment="1">
      <alignment horizontal="right" vertical="top"/>
    </xf>
    <xf numFmtId="0" fontId="10" fillId="0" borderId="0" xfId="2" applyFont="1" applyAlignment="1">
      <alignment wrapText="1"/>
    </xf>
    <xf numFmtId="0" fontId="10" fillId="0" borderId="0" xfId="0" applyFont="1" applyAlignment="1">
      <alignment horizontal="center"/>
    </xf>
    <xf numFmtId="49" fontId="10" fillId="0" borderId="0" xfId="2" applyNumberFormat="1" applyFont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1" fillId="9" borderId="12" xfId="40" applyFont="1" applyFill="1" applyBorder="1" applyAlignment="1">
      <alignment horizontal="center" vertical="center" wrapText="1"/>
    </xf>
    <xf numFmtId="165" fontId="10" fillId="8" borderId="32" xfId="9" applyFont="1" applyFill="1" applyBorder="1" applyAlignment="1">
      <alignment horizontal="right" vertical="distributed" wrapText="1"/>
    </xf>
    <xf numFmtId="165" fontId="10" fillId="8" borderId="1" xfId="9" applyFont="1" applyFill="1" applyBorder="1" applyAlignment="1">
      <alignment horizontal="right" vertical="distributed" wrapText="1"/>
    </xf>
    <xf numFmtId="2" fontId="10" fillId="8" borderId="38" xfId="9" applyNumberFormat="1" applyFont="1" applyFill="1" applyBorder="1" applyAlignment="1">
      <alignment horizontal="center" vertical="distributed" wrapText="1"/>
    </xf>
    <xf numFmtId="172" fontId="11" fillId="0" borderId="0" xfId="0" applyNumberFormat="1" applyFont="1"/>
    <xf numFmtId="171" fontId="10" fillId="2" borderId="1" xfId="9" applyNumberFormat="1" applyFont="1" applyFill="1" applyBorder="1" applyAlignment="1">
      <alignment horizontal="center" vertical="center" wrapText="1"/>
    </xf>
    <xf numFmtId="165" fontId="10" fillId="2" borderId="1" xfId="9" applyFont="1" applyFill="1" applyBorder="1" applyAlignment="1">
      <alignment horizontal="center" vertical="center" wrapText="1"/>
    </xf>
    <xf numFmtId="165" fontId="10" fillId="2" borderId="38" xfId="9" applyFont="1" applyFill="1" applyBorder="1" applyAlignment="1">
      <alignment horizontal="center" vertical="center" wrapText="1"/>
    </xf>
    <xf numFmtId="165" fontId="10" fillId="13" borderId="45" xfId="9" applyFont="1" applyFill="1" applyBorder="1" applyAlignment="1">
      <alignment horizontal="center" vertical="center" wrapText="1"/>
    </xf>
    <xf numFmtId="165" fontId="10" fillId="4" borderId="46" xfId="9" applyFont="1" applyFill="1" applyBorder="1" applyAlignment="1">
      <alignment horizontal="center" vertical="center" wrapText="1"/>
    </xf>
    <xf numFmtId="165" fontId="10" fillId="2" borderId="46" xfId="9" applyFont="1" applyFill="1" applyBorder="1" applyAlignment="1">
      <alignment horizontal="center" vertical="center" wrapText="1"/>
    </xf>
    <xf numFmtId="165" fontId="10" fillId="3" borderId="11" xfId="9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8" borderId="1" xfId="9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justify" vertical="center" wrapText="1"/>
    </xf>
    <xf numFmtId="0" fontId="11" fillId="0" borderId="38" xfId="0" applyFont="1" applyBorder="1" applyAlignment="1">
      <alignment horizontal="center" vertical="distributed"/>
    </xf>
    <xf numFmtId="173" fontId="11" fillId="14" borderId="45" xfId="41" applyNumberFormat="1" applyFont="1" applyFill="1" applyBorder="1" applyAlignment="1">
      <alignment horizontal="center" vertical="distributed" wrapText="1"/>
    </xf>
    <xf numFmtId="0" fontId="11" fillId="11" borderId="45" xfId="9" applyNumberFormat="1" applyFont="1" applyFill="1" applyBorder="1" applyAlignment="1" applyProtection="1">
      <alignment horizontal="center" vertical="center"/>
      <protection locked="0"/>
    </xf>
    <xf numFmtId="0" fontId="11" fillId="6" borderId="45" xfId="9" applyNumberFormat="1" applyFont="1" applyFill="1" applyBorder="1" applyAlignment="1">
      <alignment horizontal="center" vertical="distributed" wrapText="1"/>
    </xf>
    <xf numFmtId="0" fontId="11" fillId="12" borderId="25" xfId="9" applyNumberFormat="1" applyFont="1" applyFill="1" applyBorder="1" applyAlignment="1" applyProtection="1">
      <alignment horizontal="center" vertical="center"/>
      <protection locked="0"/>
    </xf>
    <xf numFmtId="2" fontId="11" fillId="6" borderId="45" xfId="9" applyNumberFormat="1" applyFont="1" applyFill="1" applyBorder="1" applyAlignment="1">
      <alignment horizontal="center" vertical="distributed" wrapText="1"/>
    </xf>
    <xf numFmtId="49" fontId="11" fillId="8" borderId="1" xfId="9" quotePrefix="1" applyNumberFormat="1" applyFont="1" applyFill="1" applyBorder="1" applyAlignment="1">
      <alignment horizontal="center" vertical="center" wrapText="1"/>
    </xf>
    <xf numFmtId="44" fontId="11" fillId="0" borderId="0" xfId="82" applyFont="1"/>
    <xf numFmtId="0" fontId="11" fillId="0" borderId="1" xfId="0" applyFont="1" applyBorder="1"/>
    <xf numFmtId="165" fontId="10" fillId="13" borderId="12" xfId="9" applyFont="1" applyFill="1" applyBorder="1" applyAlignment="1">
      <alignment horizontal="center" vertical="distributed" wrapText="1"/>
    </xf>
    <xf numFmtId="44" fontId="11" fillId="0" borderId="0" xfId="15" applyFont="1" applyBorder="1"/>
    <xf numFmtId="165" fontId="52" fillId="0" borderId="0" xfId="0" applyNumberFormat="1" applyFont="1"/>
    <xf numFmtId="0" fontId="52" fillId="0" borderId="0" xfId="0" applyFont="1"/>
    <xf numFmtId="165" fontId="10" fillId="4" borderId="12" xfId="9" applyFont="1" applyFill="1" applyBorder="1" applyAlignment="1">
      <alignment horizontal="center" vertical="distributed" wrapText="1"/>
    </xf>
    <xf numFmtId="165" fontId="10" fillId="3" borderId="12" xfId="9" applyFont="1" applyFill="1" applyBorder="1" applyAlignment="1">
      <alignment horizontal="center" vertical="distributed" wrapText="1"/>
    </xf>
    <xf numFmtId="171" fontId="52" fillId="8" borderId="1" xfId="9" applyNumberFormat="1" applyFont="1" applyFill="1" applyBorder="1" applyAlignment="1">
      <alignment horizontal="justify" vertical="distributed" wrapText="1"/>
    </xf>
    <xf numFmtId="165" fontId="54" fillId="8" borderId="1" xfId="9" applyFont="1" applyFill="1" applyBorder="1" applyAlignment="1">
      <alignment horizontal="justify" vertical="distributed" wrapText="1"/>
    </xf>
    <xf numFmtId="0" fontId="52" fillId="0" borderId="37" xfId="0" applyFont="1" applyBorder="1"/>
    <xf numFmtId="0" fontId="52" fillId="0" borderId="47" xfId="0" applyFont="1" applyBorder="1"/>
    <xf numFmtId="171" fontId="52" fillId="8" borderId="51" xfId="9" applyNumberFormat="1" applyFont="1" applyFill="1" applyBorder="1" applyAlignment="1">
      <alignment horizontal="justify" vertical="distributed" wrapText="1"/>
    </xf>
    <xf numFmtId="165" fontId="10" fillId="8" borderId="45" xfId="9" applyFont="1" applyFill="1" applyBorder="1" applyAlignment="1">
      <alignment vertical="distributed" wrapText="1"/>
    </xf>
    <xf numFmtId="165" fontId="10" fillId="4" borderId="54" xfId="9" applyFont="1" applyFill="1" applyBorder="1" applyAlignment="1">
      <alignment horizontal="center" vertical="center" wrapText="1"/>
    </xf>
    <xf numFmtId="165" fontId="10" fillId="2" borderId="12" xfId="9" applyFont="1" applyFill="1" applyBorder="1" applyAlignment="1">
      <alignment horizontal="center" vertical="center" wrapText="1"/>
    </xf>
    <xf numFmtId="165" fontId="10" fillId="3" borderId="54" xfId="9" applyFont="1" applyFill="1" applyBorder="1" applyAlignment="1">
      <alignment horizontal="center" vertical="center" wrapText="1"/>
    </xf>
    <xf numFmtId="165" fontId="10" fillId="2" borderId="54" xfId="9" applyFont="1" applyFill="1" applyBorder="1" applyAlignment="1">
      <alignment horizontal="center" vertical="center" wrapText="1"/>
    </xf>
    <xf numFmtId="2" fontId="11" fillId="11" borderId="45" xfId="9" applyNumberFormat="1" applyFont="1" applyFill="1" applyBorder="1" applyAlignment="1" applyProtection="1">
      <alignment horizontal="center" vertical="center"/>
      <protection locked="0"/>
    </xf>
    <xf numFmtId="2" fontId="11" fillId="6" borderId="46" xfId="9" applyNumberFormat="1" applyFont="1" applyFill="1" applyBorder="1" applyAlignment="1">
      <alignment horizontal="center" vertical="distributed" wrapText="1"/>
    </xf>
    <xf numFmtId="2" fontId="11" fillId="12" borderId="45" xfId="9" applyNumberFormat="1" applyFont="1" applyFill="1" applyBorder="1" applyAlignment="1" applyProtection="1">
      <alignment horizontal="center" vertical="center"/>
      <protection locked="0"/>
    </xf>
    <xf numFmtId="0" fontId="11" fillId="0" borderId="43" xfId="0" applyFont="1" applyBorder="1"/>
    <xf numFmtId="0" fontId="11" fillId="0" borderId="55" xfId="0" applyFont="1" applyBorder="1"/>
    <xf numFmtId="165" fontId="10" fillId="11" borderId="12" xfId="9" applyFont="1" applyFill="1" applyBorder="1" applyAlignment="1">
      <alignment horizontal="center" vertical="distributed" wrapText="1"/>
    </xf>
    <xf numFmtId="165" fontId="10" fillId="12" borderId="12" xfId="9" applyFont="1" applyFill="1" applyBorder="1" applyAlignment="1">
      <alignment horizontal="center" vertical="distributed" wrapText="1"/>
    </xf>
    <xf numFmtId="171" fontId="10" fillId="2" borderId="51" xfId="9" applyNumberFormat="1" applyFont="1" applyFill="1" applyBorder="1" applyAlignment="1">
      <alignment horizontal="center" vertical="center" wrapText="1"/>
    </xf>
    <xf numFmtId="49" fontId="11" fillId="8" borderId="51" xfId="9" applyNumberFormat="1" applyFont="1" applyFill="1" applyBorder="1" applyAlignment="1">
      <alignment horizontal="center" vertical="center" wrapText="1"/>
    </xf>
    <xf numFmtId="0" fontId="11" fillId="0" borderId="42" xfId="0" applyFont="1" applyBorder="1"/>
    <xf numFmtId="171" fontId="11" fillId="8" borderId="51" xfId="9" applyNumberFormat="1" applyFont="1" applyFill="1" applyBorder="1" applyAlignment="1">
      <alignment horizontal="justify" vertical="distributed" wrapText="1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left" vertical="top"/>
    </xf>
    <xf numFmtId="0" fontId="11" fillId="0" borderId="37" xfId="0" applyFont="1" applyBorder="1"/>
    <xf numFmtId="0" fontId="11" fillId="0" borderId="47" xfId="0" applyFont="1" applyBorder="1"/>
    <xf numFmtId="49" fontId="11" fillId="8" borderId="51" xfId="59" applyNumberFormat="1" applyFont="1" applyFill="1" applyBorder="1" applyAlignment="1">
      <alignment horizontal="center" vertical="center" wrapText="1"/>
    </xf>
    <xf numFmtId="49" fontId="11" fillId="8" borderId="1" xfId="59" quotePrefix="1" applyNumberFormat="1" applyFont="1" applyFill="1" applyBorder="1" applyAlignment="1">
      <alignment horizontal="center" vertical="center" wrapText="1"/>
    </xf>
    <xf numFmtId="174" fontId="11" fillId="14" borderId="45" xfId="41" applyNumberFormat="1" applyFont="1" applyFill="1" applyBorder="1" applyAlignment="1">
      <alignment horizontal="center" vertical="distributed" wrapText="1"/>
    </xf>
    <xf numFmtId="0" fontId="11" fillId="6" borderId="25" xfId="9" applyNumberFormat="1" applyFont="1" applyFill="1" applyBorder="1" applyAlignment="1">
      <alignment horizontal="center" vertical="distributed" wrapText="1"/>
    </xf>
    <xf numFmtId="0" fontId="11" fillId="12" borderId="45" xfId="9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24" xfId="0" applyFont="1" applyBorder="1"/>
    <xf numFmtId="0" fontId="11" fillId="0" borderId="50" xfId="0" applyFont="1" applyBorder="1"/>
    <xf numFmtId="0" fontId="11" fillId="0" borderId="0" xfId="0" applyFont="1" applyAlignment="1">
      <alignment horizontal="left"/>
    </xf>
    <xf numFmtId="165" fontId="10" fillId="2" borderId="11" xfId="9" applyFont="1" applyFill="1" applyBorder="1" applyAlignment="1">
      <alignment horizontal="center" vertical="center" wrapText="1"/>
    </xf>
    <xf numFmtId="165" fontId="10" fillId="3" borderId="46" xfId="9" applyFont="1" applyFill="1" applyBorder="1" applyAlignment="1">
      <alignment horizontal="center" vertical="center" wrapText="1"/>
    </xf>
    <xf numFmtId="0" fontId="18" fillId="0" borderId="32" xfId="2" applyFont="1" applyBorder="1" applyAlignment="1">
      <alignment horizontal="center" vertical="top"/>
    </xf>
    <xf numFmtId="4" fontId="18" fillId="0" borderId="32" xfId="2" applyNumberFormat="1" applyFont="1" applyBorder="1" applyAlignment="1">
      <alignment horizontal="center"/>
    </xf>
    <xf numFmtId="0" fontId="18" fillId="15" borderId="29" xfId="2" applyFont="1" applyFill="1" applyBorder="1" applyAlignment="1">
      <alignment horizontal="center" vertical="top"/>
    </xf>
    <xf numFmtId="0" fontId="18" fillId="15" borderId="1" xfId="2" applyFont="1" applyFill="1" applyBorder="1" applyAlignment="1">
      <alignment horizontal="center" vertical="top"/>
    </xf>
    <xf numFmtId="0" fontId="18" fillId="15" borderId="1" xfId="2" applyFont="1" applyFill="1" applyBorder="1" applyAlignment="1">
      <alignment horizontal="left" vertical="justify"/>
    </xf>
    <xf numFmtId="0" fontId="18" fillId="15" borderId="1" xfId="2" applyFont="1" applyFill="1" applyBorder="1" applyAlignment="1">
      <alignment horizontal="center"/>
    </xf>
    <xf numFmtId="4" fontId="18" fillId="15" borderId="1" xfId="2" applyNumberFormat="1" applyFont="1" applyFill="1" applyBorder="1" applyAlignment="1">
      <alignment horizontal="center"/>
    </xf>
    <xf numFmtId="4" fontId="9" fillId="15" borderId="30" xfId="2" applyNumberFormat="1" applyFont="1" applyFill="1" applyBorder="1" applyAlignment="1">
      <alignment horizontal="center"/>
    </xf>
    <xf numFmtId="4" fontId="9" fillId="15" borderId="29" xfId="2" applyNumberFormat="1" applyFont="1" applyFill="1" applyBorder="1" applyAlignment="1">
      <alignment horizontal="center"/>
    </xf>
    <xf numFmtId="4" fontId="9" fillId="15" borderId="1" xfId="2" applyNumberFormat="1" applyFont="1" applyFill="1" applyBorder="1" applyAlignment="1">
      <alignment horizontal="center"/>
    </xf>
    <xf numFmtId="4" fontId="18" fillId="15" borderId="30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top"/>
    </xf>
    <xf numFmtId="0" fontId="18" fillId="0" borderId="1" xfId="2" applyFont="1" applyBorder="1" applyAlignment="1">
      <alignment horizontal="left" vertical="justify"/>
    </xf>
    <xf numFmtId="4" fontId="18" fillId="0" borderId="1" xfId="2" applyNumberFormat="1" applyFont="1" applyBorder="1" applyAlignment="1">
      <alignment horizontal="center"/>
    </xf>
    <xf numFmtId="0" fontId="18" fillId="2" borderId="29" xfId="2" applyFont="1" applyFill="1" applyBorder="1" applyAlignment="1">
      <alignment horizontal="center" vertical="top"/>
    </xf>
    <xf numFmtId="0" fontId="18" fillId="2" borderId="1" xfId="2" applyFont="1" applyFill="1" applyBorder="1" applyAlignment="1">
      <alignment horizontal="justify" vertical="justify"/>
    </xf>
    <xf numFmtId="0" fontId="18" fillId="2" borderId="1" xfId="2" applyFont="1" applyFill="1" applyBorder="1" applyAlignment="1">
      <alignment horizontal="center"/>
    </xf>
    <xf numFmtId="4" fontId="9" fillId="2" borderId="1" xfId="2" applyNumberFormat="1" applyFont="1" applyFill="1" applyBorder="1" applyAlignment="1">
      <alignment horizontal="center"/>
    </xf>
    <xf numFmtId="0" fontId="9" fillId="0" borderId="1" xfId="2" applyFont="1" applyBorder="1" applyAlignment="1">
      <alignment horizontal="right" vertical="justify"/>
    </xf>
    <xf numFmtId="0" fontId="18" fillId="8" borderId="29" xfId="2" applyFont="1" applyFill="1" applyBorder="1" applyAlignment="1">
      <alignment horizontal="center" vertical="top"/>
    </xf>
    <xf numFmtId="0" fontId="18" fillId="8" borderId="1" xfId="2" applyFont="1" applyFill="1" applyBorder="1" applyAlignment="1">
      <alignment horizontal="right" vertical="justify"/>
    </xf>
    <xf numFmtId="0" fontId="9" fillId="8" borderId="1" xfId="2" applyFont="1" applyFill="1" applyBorder="1" applyAlignment="1">
      <alignment horizontal="center"/>
    </xf>
    <xf numFmtId="4" fontId="9" fillId="8" borderId="1" xfId="2" applyNumberFormat="1" applyFont="1" applyFill="1" applyBorder="1" applyAlignment="1">
      <alignment horizontal="center"/>
    </xf>
    <xf numFmtId="4" fontId="18" fillId="0" borderId="1" xfId="2" quotePrefix="1" applyNumberFormat="1" applyFont="1" applyBorder="1" applyAlignment="1">
      <alignment horizontal="center"/>
    </xf>
    <xf numFmtId="0" fontId="9" fillId="0" borderId="1" xfId="2" quotePrefix="1" applyFont="1" applyBorder="1" applyAlignment="1">
      <alignment horizontal="right" vertical="justify" wrapText="1"/>
    </xf>
    <xf numFmtId="4" fontId="55" fillId="0" borderId="1" xfId="2" applyNumberFormat="1" applyFont="1" applyBorder="1" applyAlignment="1">
      <alignment horizontal="center"/>
    </xf>
    <xf numFmtId="4" fontId="17" fillId="0" borderId="1" xfId="2" applyNumberFormat="1" applyFont="1" applyBorder="1" applyAlignment="1">
      <alignment horizontal="center"/>
    </xf>
    <xf numFmtId="0" fontId="55" fillId="0" borderId="29" xfId="2" applyFont="1" applyBorder="1" applyAlignment="1">
      <alignment horizontal="center" vertical="top"/>
    </xf>
    <xf numFmtId="0" fontId="55" fillId="0" borderId="1" xfId="2" applyFont="1" applyBorder="1" applyAlignment="1">
      <alignment horizontal="left" vertical="justify"/>
    </xf>
    <xf numFmtId="0" fontId="55" fillId="0" borderId="1" xfId="2" applyFont="1" applyBorder="1" applyAlignment="1">
      <alignment horizontal="center"/>
    </xf>
    <xf numFmtId="4" fontId="18" fillId="2" borderId="1" xfId="2" applyNumberFormat="1" applyFont="1" applyFill="1" applyBorder="1" applyAlignment="1">
      <alignment horizontal="center" wrapText="1"/>
    </xf>
    <xf numFmtId="4" fontId="9" fillId="0" borderId="1" xfId="2" applyNumberFormat="1" applyFont="1" applyBorder="1" applyAlignment="1">
      <alignment horizontal="center" wrapText="1"/>
    </xf>
    <xf numFmtId="0" fontId="18" fillId="2" borderId="1" xfId="2" applyFont="1" applyFill="1" applyBorder="1" applyAlignment="1">
      <alignment horizontal="justify" vertical="justify" wrapText="1"/>
    </xf>
    <xf numFmtId="4" fontId="18" fillId="2" borderId="1" xfId="2" applyNumberFormat="1" applyFont="1" applyFill="1" applyBorder="1" applyAlignment="1">
      <alignment horizontal="left"/>
    </xf>
    <xf numFmtId="4" fontId="18" fillId="8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left" vertical="justify" wrapText="1"/>
    </xf>
    <xf numFmtId="4" fontId="9" fillId="15" borderId="29" xfId="2" applyNumberFormat="1" applyFont="1" applyFill="1" applyBorder="1" applyAlignment="1">
      <alignment horizontal="left"/>
    </xf>
    <xf numFmtId="4" fontId="18" fillId="16" borderId="35" xfId="2" applyNumberFormat="1" applyFont="1" applyFill="1" applyBorder="1" applyAlignment="1">
      <alignment horizontal="center"/>
    </xf>
    <xf numFmtId="4" fontId="56" fillId="16" borderId="36" xfId="2" applyNumberFormat="1" applyFont="1" applyFill="1" applyBorder="1" applyAlignment="1">
      <alignment horizontal="center" vertical="center"/>
    </xf>
    <xf numFmtId="4" fontId="18" fillId="16" borderId="34" xfId="2" applyNumberFormat="1" applyFont="1" applyFill="1" applyBorder="1" applyAlignment="1">
      <alignment horizontal="left"/>
    </xf>
    <xf numFmtId="0" fontId="18" fillId="16" borderId="34" xfId="2" applyFont="1" applyFill="1" applyBorder="1" applyAlignment="1">
      <alignment horizontal="center" vertical="center"/>
    </xf>
    <xf numFmtId="0" fontId="18" fillId="16" borderId="35" xfId="2" applyFont="1" applyFill="1" applyBorder="1" applyAlignment="1">
      <alignment horizontal="center" vertical="center"/>
    </xf>
    <xf numFmtId="4" fontId="18" fillId="16" borderId="35" xfId="2" applyNumberFormat="1" applyFont="1" applyFill="1" applyBorder="1" applyAlignment="1">
      <alignment horizontal="center" vertical="center"/>
    </xf>
    <xf numFmtId="4" fontId="18" fillId="16" borderId="36" xfId="2" applyNumberFormat="1" applyFont="1" applyFill="1" applyBorder="1" applyAlignment="1">
      <alignment horizontal="center" vertical="center"/>
    </xf>
    <xf numFmtId="4" fontId="18" fillId="16" borderId="34" xfId="2" applyNumberFormat="1" applyFont="1" applyFill="1" applyBorder="1" applyAlignment="1">
      <alignment horizontal="center" vertical="center" wrapText="1"/>
    </xf>
    <xf numFmtId="4" fontId="18" fillId="16" borderId="35" xfId="2" applyNumberFormat="1" applyFont="1" applyFill="1" applyBorder="1" applyAlignment="1">
      <alignment horizontal="center" vertical="center" wrapText="1"/>
    </xf>
    <xf numFmtId="4" fontId="18" fillId="16" borderId="36" xfId="2" applyNumberFormat="1" applyFont="1" applyFill="1" applyBorder="1" applyAlignment="1">
      <alignment horizontal="center" vertical="center" wrapText="1"/>
    </xf>
    <xf numFmtId="0" fontId="18" fillId="16" borderId="0" xfId="0" applyFont="1" applyFill="1" applyAlignment="1">
      <alignment horizontal="center" vertical="center"/>
    </xf>
    <xf numFmtId="0" fontId="9" fillId="16" borderId="0" xfId="0" applyFont="1" applyFill="1" applyAlignment="1">
      <alignment horizontal="left" vertical="center"/>
    </xf>
    <xf numFmtId="175" fontId="9" fillId="0" borderId="1" xfId="2" applyNumberFormat="1" applyFont="1" applyBorder="1" applyAlignment="1">
      <alignment horizontal="center"/>
    </xf>
    <xf numFmtId="0" fontId="34" fillId="0" borderId="1" xfId="2" applyFont="1" applyBorder="1" applyAlignment="1">
      <alignment horizontal="right" vertical="justify"/>
    </xf>
    <xf numFmtId="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9" fillId="0" borderId="37" xfId="2" applyFont="1" applyBorder="1" applyAlignment="1">
      <alignment horizontal="right" vertical="justify"/>
    </xf>
    <xf numFmtId="0" fontId="9" fillId="0" borderId="32" xfId="2" applyFont="1" applyBorder="1" applyAlignment="1">
      <alignment horizontal="right" vertical="justify"/>
    </xf>
    <xf numFmtId="173" fontId="11" fillId="0" borderId="0" xfId="0" applyNumberFormat="1" applyFont="1"/>
    <xf numFmtId="0" fontId="27" fillId="0" borderId="29" xfId="2" applyFont="1" applyBorder="1" applyAlignment="1">
      <alignment horizontal="center" vertical="top"/>
    </xf>
    <xf numFmtId="0" fontId="27" fillId="0" borderId="1" xfId="2" applyFont="1" applyBorder="1" applyAlignment="1">
      <alignment horizontal="center" vertical="top"/>
    </xf>
    <xf numFmtId="0" fontId="27" fillId="0" borderId="1" xfId="2" quotePrefix="1" applyFont="1" applyBorder="1" applyAlignment="1">
      <alignment horizontal="center" vertical="top"/>
    </xf>
    <xf numFmtId="0" fontId="27" fillId="0" borderId="1" xfId="2" applyFont="1" applyBorder="1" applyAlignment="1">
      <alignment horizontal="justify" vertical="justify"/>
    </xf>
    <xf numFmtId="0" fontId="27" fillId="0" borderId="1" xfId="2" applyFont="1" applyBorder="1" applyAlignment="1">
      <alignment horizontal="center"/>
    </xf>
    <xf numFmtId="4" fontId="27" fillId="0" borderId="30" xfId="2" applyNumberFormat="1" applyFont="1" applyBorder="1" applyAlignment="1">
      <alignment horizontal="center"/>
    </xf>
    <xf numFmtId="4" fontId="27" fillId="0" borderId="29" xfId="2" applyNumberFormat="1" applyFont="1" applyBorder="1" applyAlignment="1">
      <alignment horizontal="center"/>
    </xf>
    <xf numFmtId="4" fontId="27" fillId="0" borderId="1" xfId="2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2" applyFont="1" applyBorder="1" applyAlignment="1">
      <alignment horizontal="justify" vertical="justify" wrapText="1"/>
    </xf>
    <xf numFmtId="0" fontId="27" fillId="0" borderId="1" xfId="2" applyFont="1" applyBorder="1" applyAlignment="1">
      <alignment horizontal="center" vertical="top" wrapText="1"/>
    </xf>
    <xf numFmtId="0" fontId="27" fillId="0" borderId="1" xfId="2" quotePrefix="1" applyFont="1" applyBorder="1" applyAlignment="1">
      <alignment horizontal="center" vertical="top" wrapText="1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0" fillId="0" borderId="0" xfId="2" applyFont="1" applyAlignment="1">
      <alignment horizontal="left" vertical="top"/>
    </xf>
    <xf numFmtId="0" fontId="61" fillId="0" borderId="0" xfId="0" applyFont="1"/>
    <xf numFmtId="0" fontId="62" fillId="0" borderId="0" xfId="0" applyFont="1" applyAlignment="1">
      <alignment wrapText="1"/>
    </xf>
    <xf numFmtId="0" fontId="63" fillId="0" borderId="0" xfId="0" applyFont="1" applyAlignment="1">
      <alignment wrapText="1"/>
    </xf>
    <xf numFmtId="0" fontId="61" fillId="0" borderId="65" xfId="0" applyFont="1" applyBorder="1"/>
    <xf numFmtId="0" fontId="60" fillId="17" borderId="0" xfId="0" applyFont="1" applyFill="1" applyAlignment="1">
      <alignment horizontal="center"/>
    </xf>
    <xf numFmtId="0" fontId="60" fillId="17" borderId="12" xfId="0" applyFont="1" applyFill="1" applyBorder="1" applyAlignment="1">
      <alignment horizontal="center" wrapText="1"/>
    </xf>
    <xf numFmtId="0" fontId="60" fillId="17" borderId="59" xfId="0" applyFont="1" applyFill="1" applyBorder="1" applyAlignment="1">
      <alignment horizontal="center" wrapText="1"/>
    </xf>
    <xf numFmtId="0" fontId="64" fillId="0" borderId="12" xfId="0" applyFont="1" applyBorder="1" applyAlignment="1">
      <alignment horizontal="center"/>
    </xf>
    <xf numFmtId="0" fontId="64" fillId="0" borderId="12" xfId="0" applyFont="1" applyBorder="1"/>
    <xf numFmtId="0" fontId="65" fillId="0" borderId="59" xfId="0" applyFont="1" applyBorder="1"/>
    <xf numFmtId="0" fontId="60" fillId="2" borderId="0" xfId="0" applyFont="1" applyFill="1"/>
    <xf numFmtId="0" fontId="64" fillId="2" borderId="13" xfId="0" applyFont="1" applyFill="1" applyBorder="1"/>
    <xf numFmtId="0" fontId="64" fillId="2" borderId="15" xfId="0" applyFont="1" applyFill="1" applyBorder="1"/>
    <xf numFmtId="0" fontId="66" fillId="0" borderId="12" xfId="0" applyFont="1" applyBorder="1" applyAlignment="1">
      <alignment horizontal="center"/>
    </xf>
    <xf numFmtId="0" fontId="66" fillId="0" borderId="12" xfId="0" applyFont="1" applyBorder="1"/>
    <xf numFmtId="2" fontId="66" fillId="0" borderId="12" xfId="0" applyNumberFormat="1" applyFont="1" applyBorder="1" applyAlignment="1">
      <alignment horizontal="center"/>
    </xf>
    <xf numFmtId="2" fontId="67" fillId="0" borderId="59" xfId="0" applyNumberFormat="1" applyFont="1" applyBorder="1" applyAlignment="1">
      <alignment horizontal="center"/>
    </xf>
    <xf numFmtId="0" fontId="64" fillId="2" borderId="12" xfId="0" applyFont="1" applyFill="1" applyBorder="1" applyAlignment="1">
      <alignment horizontal="center"/>
    </xf>
    <xf numFmtId="2" fontId="64" fillId="2" borderId="12" xfId="0" applyNumberFormat="1" applyFont="1" applyFill="1" applyBorder="1" applyAlignment="1">
      <alignment horizontal="center"/>
    </xf>
    <xf numFmtId="2" fontId="60" fillId="2" borderId="59" xfId="0" applyNumberFormat="1" applyFont="1" applyFill="1" applyBorder="1" applyAlignment="1">
      <alignment horizontal="center"/>
    </xf>
    <xf numFmtId="2" fontId="68" fillId="0" borderId="59" xfId="0" applyNumberFormat="1" applyFont="1" applyBorder="1" applyAlignment="1">
      <alignment horizontal="center"/>
    </xf>
    <xf numFmtId="0" fontId="66" fillId="0" borderId="12" xfId="0" applyFont="1" applyBorder="1" applyAlignment="1">
      <alignment wrapText="1"/>
    </xf>
    <xf numFmtId="2" fontId="62" fillId="11" borderId="12" xfId="0" applyNumberFormat="1" applyFont="1" applyFill="1" applyBorder="1" applyAlignment="1">
      <alignment horizontal="center"/>
    </xf>
    <xf numFmtId="2" fontId="60" fillId="17" borderId="59" xfId="0" applyNumberFormat="1" applyFont="1" applyFill="1" applyBorder="1" applyAlignment="1">
      <alignment horizontal="center"/>
    </xf>
    <xf numFmtId="2" fontId="69" fillId="12" borderId="12" xfId="0" applyNumberFormat="1" applyFont="1" applyFill="1" applyBorder="1" applyAlignment="1">
      <alignment horizontal="center"/>
    </xf>
    <xf numFmtId="2" fontId="11" fillId="6" borderId="25" xfId="9" applyNumberFormat="1" applyFont="1" applyFill="1" applyBorder="1" applyAlignment="1">
      <alignment horizontal="center" vertical="distributed" wrapText="1"/>
    </xf>
    <xf numFmtId="0" fontId="56" fillId="0" borderId="61" xfId="2" applyFont="1" applyBorder="1" applyAlignment="1">
      <alignment horizontal="center" vertical="top"/>
    </xf>
    <xf numFmtId="0" fontId="56" fillId="0" borderId="25" xfId="2" applyFont="1" applyBorder="1" applyAlignment="1">
      <alignment horizontal="center" vertical="top"/>
    </xf>
    <xf numFmtId="0" fontId="56" fillId="0" borderId="62" xfId="2" applyFont="1" applyBorder="1" applyAlignment="1">
      <alignment horizontal="center" vertical="top"/>
    </xf>
    <xf numFmtId="0" fontId="19" fillId="16" borderId="26" xfId="2" applyFont="1" applyFill="1" applyBorder="1" applyAlignment="1">
      <alignment horizontal="center" vertical="center" wrapText="1"/>
    </xf>
    <xf numFmtId="0" fontId="19" fillId="16" borderId="27" xfId="2" applyFont="1" applyFill="1" applyBorder="1" applyAlignment="1">
      <alignment horizontal="center" vertical="center" wrapText="1"/>
    </xf>
    <xf numFmtId="0" fontId="19" fillId="16" borderId="28" xfId="2" applyFont="1" applyFill="1" applyBorder="1" applyAlignment="1">
      <alignment horizontal="center" vertical="center" wrapText="1"/>
    </xf>
    <xf numFmtId="0" fontId="19" fillId="0" borderId="2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4" fontId="19" fillId="0" borderId="3" xfId="2" applyNumberFormat="1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0" fontId="19" fillId="0" borderId="7" xfId="2" applyFont="1" applyBorder="1" applyAlignment="1">
      <alignment horizontal="center"/>
    </xf>
    <xf numFmtId="0" fontId="19" fillId="0" borderId="8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19" fillId="0" borderId="10" xfId="2" applyFont="1" applyBorder="1" applyAlignment="1">
      <alignment horizontal="center"/>
    </xf>
    <xf numFmtId="4" fontId="18" fillId="2" borderId="26" xfId="2" applyNumberFormat="1" applyFont="1" applyFill="1" applyBorder="1" applyAlignment="1">
      <alignment horizontal="center" vertical="center" wrapText="1"/>
    </xf>
    <xf numFmtId="4" fontId="18" fillId="2" borderId="27" xfId="2" applyNumberFormat="1" applyFont="1" applyFill="1" applyBorder="1" applyAlignment="1">
      <alignment horizontal="center" vertical="center" wrapText="1"/>
    </xf>
    <xf numFmtId="4" fontId="18" fillId="2" borderId="28" xfId="2" applyNumberFormat="1" applyFont="1" applyFill="1" applyBorder="1" applyAlignment="1">
      <alignment horizontal="center" vertical="center" wrapText="1"/>
    </xf>
    <xf numFmtId="165" fontId="10" fillId="4" borderId="12" xfId="9" applyFont="1" applyFill="1" applyBorder="1" applyAlignment="1">
      <alignment horizontal="center" vertical="distributed" wrapText="1"/>
    </xf>
    <xf numFmtId="165" fontId="10" fillId="3" borderId="12" xfId="9" applyFont="1" applyFill="1" applyBorder="1" applyAlignment="1">
      <alignment horizontal="center" vertical="distributed" wrapText="1"/>
    </xf>
    <xf numFmtId="171" fontId="10" fillId="0" borderId="52" xfId="9" applyNumberFormat="1" applyFont="1" applyFill="1" applyBorder="1" applyAlignment="1">
      <alignment horizontal="center" vertical="distributed" wrapText="1"/>
    </xf>
    <xf numFmtId="171" fontId="10" fillId="0" borderId="32" xfId="9" applyNumberFormat="1" applyFont="1" applyFill="1" applyBorder="1" applyAlignment="1">
      <alignment horizontal="center" vertical="distributed" wrapText="1"/>
    </xf>
    <xf numFmtId="171" fontId="10" fillId="0" borderId="51" xfId="9" applyNumberFormat="1" applyFont="1" applyFill="1" applyBorder="1" applyAlignment="1">
      <alignment horizontal="center" vertical="distributed" wrapText="1"/>
    </xf>
    <xf numFmtId="171" fontId="10" fillId="0" borderId="1" xfId="9" applyNumberFormat="1" applyFont="1" applyFill="1" applyBorder="1" applyAlignment="1">
      <alignment horizontal="center" vertical="distributed" wrapText="1"/>
    </xf>
    <xf numFmtId="0" fontId="10" fillId="0" borderId="32" xfId="9" applyNumberFormat="1" applyFont="1" applyBorder="1" applyAlignment="1">
      <alignment horizontal="center" vertical="distributed" wrapText="1"/>
    </xf>
    <xf numFmtId="0" fontId="10" fillId="0" borderId="53" xfId="9" applyNumberFormat="1" applyFont="1" applyBorder="1" applyAlignment="1">
      <alignment horizontal="center" vertical="distributed" wrapText="1"/>
    </xf>
    <xf numFmtId="165" fontId="10" fillId="8" borderId="1" xfId="9" applyFont="1" applyFill="1" applyBorder="1" applyAlignment="1">
      <alignment horizontal="right" vertical="center" wrapText="1"/>
    </xf>
    <xf numFmtId="0" fontId="10" fillId="2" borderId="1" xfId="9" applyNumberFormat="1" applyFont="1" applyFill="1" applyBorder="1" applyAlignment="1">
      <alignment horizontal="left" vertical="distributed" wrapText="1"/>
    </xf>
    <xf numFmtId="0" fontId="10" fillId="2" borderId="37" xfId="9" applyNumberFormat="1" applyFont="1" applyFill="1" applyBorder="1" applyAlignment="1">
      <alignment horizontal="left" vertical="distributed" wrapText="1"/>
    </xf>
    <xf numFmtId="165" fontId="10" fillId="8" borderId="45" xfId="9" applyFont="1" applyFill="1" applyBorder="1" applyAlignment="1">
      <alignment horizontal="center" vertical="center" wrapText="1"/>
    </xf>
    <xf numFmtId="172" fontId="10" fillId="11" borderId="12" xfId="9" applyNumberFormat="1" applyFont="1" applyFill="1" applyBorder="1" applyAlignment="1">
      <alignment horizontal="center" vertical="center" wrapText="1"/>
    </xf>
    <xf numFmtId="172" fontId="10" fillId="12" borderId="12" xfId="9" applyNumberFormat="1" applyFont="1" applyFill="1" applyBorder="1" applyAlignment="1">
      <alignment horizontal="center" vertical="center" wrapText="1"/>
    </xf>
    <xf numFmtId="0" fontId="10" fillId="10" borderId="39" xfId="0" applyFont="1" applyFill="1" applyBorder="1" applyAlignment="1">
      <alignment horizontal="center" vertical="center" wrapText="1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 wrapText="1"/>
    </xf>
    <xf numFmtId="0" fontId="10" fillId="10" borderId="44" xfId="0" applyFont="1" applyFill="1" applyBorder="1" applyAlignment="1">
      <alignment horizontal="center" vertical="center" wrapText="1"/>
    </xf>
    <xf numFmtId="171" fontId="10" fillId="8" borderId="32" xfId="9" applyNumberFormat="1" applyFont="1" applyFill="1" applyBorder="1" applyAlignment="1">
      <alignment horizontal="center" vertical="distributed" wrapText="1"/>
    </xf>
    <xf numFmtId="171" fontId="10" fillId="8" borderId="1" xfId="9" applyNumberFormat="1" applyFont="1" applyFill="1" applyBorder="1" applyAlignment="1">
      <alignment horizontal="center" vertical="distributed" wrapText="1"/>
    </xf>
    <xf numFmtId="0" fontId="16" fillId="6" borderId="1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165" fontId="10" fillId="8" borderId="48" xfId="9" applyFont="1" applyFill="1" applyBorder="1" applyAlignment="1">
      <alignment horizontal="center" vertical="distributed" wrapText="1"/>
    </xf>
    <xf numFmtId="165" fontId="10" fillId="8" borderId="49" xfId="9" applyFont="1" applyFill="1" applyBorder="1" applyAlignment="1">
      <alignment horizontal="center" vertical="distributed" wrapText="1"/>
    </xf>
    <xf numFmtId="0" fontId="20" fillId="0" borderId="0" xfId="2" applyFont="1" applyAlignment="1">
      <alignment horizontal="left" wrapText="1"/>
    </xf>
    <xf numFmtId="0" fontId="56" fillId="0" borderId="61" xfId="2" applyFont="1" applyBorder="1" applyAlignment="1">
      <alignment horizontal="center" vertical="center"/>
    </xf>
    <xf numFmtId="0" fontId="56" fillId="0" borderId="25" xfId="2" applyFont="1" applyBorder="1" applyAlignment="1">
      <alignment horizontal="center" vertical="center"/>
    </xf>
    <xf numFmtId="0" fontId="62" fillId="2" borderId="14" xfId="0" applyFont="1" applyFill="1" applyBorder="1" applyAlignment="1">
      <alignment horizontal="center"/>
    </xf>
    <xf numFmtId="0" fontId="62" fillId="2" borderId="13" xfId="0" applyFont="1" applyFill="1" applyBorder="1" applyAlignment="1">
      <alignment horizontal="center"/>
    </xf>
    <xf numFmtId="0" fontId="62" fillId="2" borderId="15" xfId="0" applyFont="1" applyFill="1" applyBorder="1" applyAlignment="1">
      <alignment horizontal="center"/>
    </xf>
    <xf numFmtId="0" fontId="62" fillId="5" borderId="14" xfId="0" applyFont="1" applyFill="1" applyBorder="1" applyAlignment="1">
      <alignment horizontal="center"/>
    </xf>
    <xf numFmtId="0" fontId="62" fillId="5" borderId="15" xfId="0" applyFont="1" applyFill="1" applyBorder="1" applyAlignment="1">
      <alignment horizontal="center"/>
    </xf>
    <xf numFmtId="0" fontId="57" fillId="0" borderId="48" xfId="0" applyFont="1" applyBorder="1" applyAlignment="1">
      <alignment horizontal="center"/>
    </xf>
    <xf numFmtId="0" fontId="57" fillId="0" borderId="63" xfId="0" applyFont="1" applyBorder="1" applyAlignment="1">
      <alignment horizontal="center"/>
    </xf>
    <xf numFmtId="0" fontId="57" fillId="0" borderId="64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57" xfId="0" applyFont="1" applyBorder="1" applyAlignment="1">
      <alignment horizontal="center"/>
    </xf>
    <xf numFmtId="0" fontId="58" fillId="0" borderId="49" xfId="0" applyFont="1" applyBorder="1" applyAlignment="1">
      <alignment horizontal="center"/>
    </xf>
    <xf numFmtId="0" fontId="58" fillId="0" borderId="65" xfId="0" applyFont="1" applyBorder="1" applyAlignment="1">
      <alignment horizontal="center"/>
    </xf>
    <xf numFmtId="0" fontId="58" fillId="0" borderId="66" xfId="0" applyFont="1" applyBorder="1" applyAlignment="1">
      <alignment horizontal="center"/>
    </xf>
    <xf numFmtId="0" fontId="60" fillId="17" borderId="58" xfId="0" applyFont="1" applyFill="1" applyBorder="1" applyAlignment="1">
      <alignment horizontal="center" vertical="center"/>
    </xf>
    <xf numFmtId="0" fontId="60" fillId="17" borderId="60" xfId="0" applyFont="1" applyFill="1" applyBorder="1" applyAlignment="1">
      <alignment horizontal="center" vertical="center"/>
    </xf>
    <xf numFmtId="0" fontId="60" fillId="17" borderId="14" xfId="0" applyFont="1" applyFill="1" applyBorder="1" applyAlignment="1">
      <alignment horizontal="center"/>
    </xf>
    <xf numFmtId="0" fontId="60" fillId="17" borderId="15" xfId="0" applyFont="1" applyFill="1" applyBorder="1" applyAlignment="1">
      <alignment horizontal="center"/>
    </xf>
    <xf numFmtId="0" fontId="20" fillId="0" borderId="12" xfId="2" applyFont="1" applyBorder="1" applyAlignment="1">
      <alignment horizontal="right" vertical="center"/>
    </xf>
    <xf numFmtId="4" fontId="20" fillId="0" borderId="12" xfId="2" applyNumberFormat="1" applyFont="1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18" fillId="2" borderId="12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 wrapText="1"/>
    </xf>
    <xf numFmtId="4" fontId="18" fillId="2" borderId="12" xfId="2" applyNumberFormat="1" applyFont="1" applyFill="1" applyBorder="1" applyAlignment="1">
      <alignment horizontal="center"/>
    </xf>
    <xf numFmtId="0" fontId="18" fillId="7" borderId="12" xfId="2" applyFont="1" applyFill="1" applyBorder="1" applyAlignment="1">
      <alignment horizontal="center" vertical="center"/>
    </xf>
    <xf numFmtId="0" fontId="34" fillId="2" borderId="12" xfId="2" applyFont="1" applyFill="1" applyBorder="1" applyAlignment="1">
      <alignment horizontal="right" vertical="center"/>
    </xf>
    <xf numFmtId="0" fontId="50" fillId="0" borderId="0" xfId="6" applyFont="1" applyAlignment="1">
      <alignment horizontal="justify" wrapText="1"/>
    </xf>
    <xf numFmtId="0" fontId="25" fillId="0" borderId="0" xfId="19" applyFont="1" applyAlignment="1">
      <alignment horizontal="justify" wrapText="1"/>
    </xf>
    <xf numFmtId="0" fontId="53" fillId="0" borderId="14" xfId="0" applyFont="1" applyBorder="1" applyAlignment="1">
      <alignment horizontal="left" vertical="justify" wrapText="1"/>
    </xf>
    <xf numFmtId="0" fontId="53" fillId="0" borderId="13" xfId="0" applyFont="1" applyBorder="1" applyAlignment="1">
      <alignment horizontal="left" vertical="justify" wrapText="1"/>
    </xf>
    <xf numFmtId="0" fontId="53" fillId="0" borderId="15" xfId="0" applyFont="1" applyBorder="1" applyAlignment="1">
      <alignment horizontal="left" vertical="justify" wrapText="1"/>
    </xf>
    <xf numFmtId="0" fontId="4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</cellXfs>
  <cellStyles count="83">
    <cellStyle name="Moeda" xfId="82" builtinId="4"/>
    <cellStyle name="Moeda 2" xfId="10" xr:uid="{00000000-0005-0000-0000-000001000000}"/>
    <cellStyle name="Moeda 3" xfId="15" xr:uid="{00000000-0005-0000-0000-000002000000}"/>
    <cellStyle name="Moeda 3 2" xfId="45" xr:uid="{EED6F780-9E54-4F2F-BDFE-858F292F8FDC}"/>
    <cellStyle name="Moeda 4" xfId="72" xr:uid="{308A825F-D538-40D0-89DD-1787A6B292B8}"/>
    <cellStyle name="Normal" xfId="0" builtinId="0"/>
    <cellStyle name="Normal 10" xfId="63" xr:uid="{68841A04-6E19-4600-B5F1-70E48D02EA93}"/>
    <cellStyle name="Normal 10 2" xfId="81" xr:uid="{9F964DA3-2AD4-4AD6-95DA-9C281DAE8197}"/>
    <cellStyle name="Normal 19" xfId="58" xr:uid="{DE612FF0-C77A-4370-9241-4DDACB7FCD44}"/>
    <cellStyle name="Normal 2" xfId="3" xr:uid="{00000000-0005-0000-0000-000004000000}"/>
    <cellStyle name="Normal 2 2" xfId="5" xr:uid="{00000000-0005-0000-0000-000005000000}"/>
    <cellStyle name="Normal 2 2 2" xfId="57" xr:uid="{C7EBEF00-CF54-4E90-9C20-CE0BBA4A3F18}"/>
    <cellStyle name="Normal 2 2 3" xfId="70" xr:uid="{AA6EE323-46E7-4326-8A9C-569D1BA6C2FE}"/>
    <cellStyle name="Normal 2 3" xfId="16" xr:uid="{00000000-0005-0000-0000-000006000000}"/>
    <cellStyle name="Normal 2 3 2" xfId="17" xr:uid="{00000000-0005-0000-0000-000007000000}"/>
    <cellStyle name="Normal 2 4" xfId="18" xr:uid="{00000000-0005-0000-0000-000008000000}"/>
    <cellStyle name="Normal 2 5" xfId="38" xr:uid="{00000000-0005-0000-0000-000009000000}"/>
    <cellStyle name="Normal 2 6" xfId="68" xr:uid="{F08EA3B4-B9A1-496C-BAB9-2312383868C1}"/>
    <cellStyle name="Normal 3" xfId="6" xr:uid="{00000000-0005-0000-0000-00000A000000}"/>
    <cellStyle name="Normal 3 2" xfId="19" xr:uid="{00000000-0005-0000-0000-00000B000000}"/>
    <cellStyle name="Normal 3 2 2" xfId="20" xr:uid="{00000000-0005-0000-0000-00000C000000}"/>
    <cellStyle name="Normal 3 2 3" xfId="36" xr:uid="{00000000-0005-0000-0000-00000D000000}"/>
    <cellStyle name="Normal 3 3" xfId="21" xr:uid="{00000000-0005-0000-0000-00000E000000}"/>
    <cellStyle name="Normal 4" xfId="11" xr:uid="{00000000-0005-0000-0000-00000F000000}"/>
    <cellStyle name="Normal 4 2" xfId="13" xr:uid="{00000000-0005-0000-0000-000010000000}"/>
    <cellStyle name="Normal 4 2 2" xfId="51" xr:uid="{01633513-2C32-4E51-909A-583D9D54FBED}"/>
    <cellStyle name="Normal 5" xfId="14" xr:uid="{00000000-0005-0000-0000-000011000000}"/>
    <cellStyle name="Normal 5 3" xfId="52" xr:uid="{9614A879-9E33-4041-820C-2FC000AEA9A9}"/>
    <cellStyle name="Normal 6" xfId="22" xr:uid="{00000000-0005-0000-0000-000012000000}"/>
    <cellStyle name="Normal 7" xfId="23" xr:uid="{00000000-0005-0000-0000-000013000000}"/>
    <cellStyle name="Normal 7 2" xfId="60" xr:uid="{C35FF795-C6AC-4ECC-A8DA-DB81FCAA035A}"/>
    <cellStyle name="Normal 8" xfId="56" xr:uid="{445DE8F1-FF5E-4BB4-9CDE-379E69B5C615}"/>
    <cellStyle name="Normal 8 2" xfId="80" xr:uid="{B1F98701-FB86-40BF-BEB2-FDDB71D9C2C3}"/>
    <cellStyle name="Normal 9" xfId="62" xr:uid="{D57DECCA-D3D9-4183-9A05-2DC6E6690DA5}"/>
    <cellStyle name="Normal_cronograma 6 meses 2" xfId="2" xr:uid="{00000000-0005-0000-0000-000014000000}"/>
    <cellStyle name="Normal_Pesquisa no referencial 10 de maio de 2013" xfId="40" xr:uid="{3C7B7850-80CD-4A18-8FEA-91D854FEA48B}"/>
    <cellStyle name="Porcentagem" xfId="1" builtinId="5"/>
    <cellStyle name="Porcentagem 2" xfId="7" xr:uid="{00000000-0005-0000-0000-000016000000}"/>
    <cellStyle name="Porcentagem 2 2" xfId="24" xr:uid="{00000000-0005-0000-0000-000017000000}"/>
    <cellStyle name="Porcentagem 2 2 2" xfId="25" xr:uid="{00000000-0005-0000-0000-000018000000}"/>
    <cellStyle name="Porcentagem 3" xfId="26" xr:uid="{00000000-0005-0000-0000-000019000000}"/>
    <cellStyle name="Porcentagem 4" xfId="53" xr:uid="{DD551FBE-25FE-4F2B-A525-3DB712C4DA07}"/>
    <cellStyle name="Porcentagem 5" xfId="67" xr:uid="{71DD4BC3-6A64-46CF-9255-B1B6777DB907}"/>
    <cellStyle name="Porcentagem 6" xfId="61" xr:uid="{7E322EE9-5C01-4EB6-B626-8604B2877290}"/>
    <cellStyle name="Separador de milhares 2" xfId="8" xr:uid="{00000000-0005-0000-0000-00001A000000}"/>
    <cellStyle name="Separador de milhares 2 2" xfId="27" xr:uid="{00000000-0005-0000-0000-00001B000000}"/>
    <cellStyle name="Separador de milhares 2 2 2" xfId="28" xr:uid="{00000000-0005-0000-0000-00001C000000}"/>
    <cellStyle name="Separador de milhares 2 2 2 2" xfId="46" xr:uid="{F5A24B16-D8AE-4B39-AD01-7B0607BF66B5}"/>
    <cellStyle name="Separador de milhares 2 2 2 2 2" xfId="73" xr:uid="{A9C630EB-6D7E-4D7A-A631-99F0E34D33BC}"/>
    <cellStyle name="Separador de milhares 3" xfId="4" xr:uid="{00000000-0005-0000-0000-00001D000000}"/>
    <cellStyle name="Separador de milhares 3 2" xfId="35" xr:uid="{00000000-0005-0000-0000-00001E000000}"/>
    <cellStyle name="Separador de milhares 3 3" xfId="42" xr:uid="{F9698006-172E-4AA3-B0A8-3EA52AC203E8}"/>
    <cellStyle name="Separador de milhares 3 3 2" xfId="69" xr:uid="{3894E608-B0B2-4E6B-8A7D-324961924474}"/>
    <cellStyle name="Separador de milhares 4" xfId="29" xr:uid="{00000000-0005-0000-0000-00001F000000}"/>
    <cellStyle name="Separador de milhares 4 2" xfId="30" xr:uid="{00000000-0005-0000-0000-000020000000}"/>
    <cellStyle name="Separador de milhares 4 2 2" xfId="48" xr:uid="{9DFE85F6-79F5-40AC-9E5F-E06BE2C140A6}"/>
    <cellStyle name="Separador de milhares 4 2 2 2" xfId="75" xr:uid="{263D1D94-327B-47B9-B532-CD7F732CBFEB}"/>
    <cellStyle name="Separador de milhares 4 3" xfId="31" xr:uid="{00000000-0005-0000-0000-000021000000}"/>
    <cellStyle name="Separador de milhares 4 4" xfId="37" xr:uid="{00000000-0005-0000-0000-000022000000}"/>
    <cellStyle name="Separador de milhares 4 5" xfId="47" xr:uid="{0866ABD1-9EC8-4ACF-BC5E-6D1182E408E2}"/>
    <cellStyle name="Separador de milhares 4 5 2" xfId="74" xr:uid="{D9F2B8EF-DA7F-4F99-9C22-5A387755416E}"/>
    <cellStyle name="Separador de milhares 5" xfId="32" xr:uid="{00000000-0005-0000-0000-000023000000}"/>
    <cellStyle name="Separador de milhares 5 2" xfId="49" xr:uid="{3D6E587F-D29E-4539-9094-E4C145D41E4C}"/>
    <cellStyle name="Separador de milhares 5 2 2" xfId="76" xr:uid="{C8247E73-9D14-4427-906C-DD8A6F37DA82}"/>
    <cellStyle name="Vírgula" xfId="12" builtinId="3"/>
    <cellStyle name="Vírgula 2" xfId="9" xr:uid="{00000000-0005-0000-0000-000025000000}"/>
    <cellStyle name="Vírgula 2 2" xfId="33" xr:uid="{00000000-0005-0000-0000-000026000000}"/>
    <cellStyle name="Vírgula 2 2 2" xfId="41" xr:uid="{8BCF6FCD-88E4-4A55-90F8-FE38DBBF9A7B}"/>
    <cellStyle name="Vírgula 2 2 3" xfId="39" xr:uid="{00000000-0005-0000-0000-000027000000}"/>
    <cellStyle name="Vírgula 2 3" xfId="59" xr:uid="{C71585FD-C291-464A-8CF0-0416EFF06C77}"/>
    <cellStyle name="Vírgula 2 3 2" xfId="66" xr:uid="{B986A298-88DA-4F9A-A31B-EB1920D39A3D}"/>
    <cellStyle name="Vírgula 2 4" xfId="54" xr:uid="{B5BF8353-720E-4EFE-A35F-BF4C8D9552C3}"/>
    <cellStyle name="Vírgula 2 4 2" xfId="78" xr:uid="{EA72ECE4-75FF-48B6-BBB9-F95D11997EA1}"/>
    <cellStyle name="Vírgula 2 5" xfId="43" xr:uid="{76A9ACDC-CF4B-4178-94F8-F68AEC136D93}"/>
    <cellStyle name="Vírgula 2 5 2" xfId="65" xr:uid="{30549838-FCAD-48D8-B5A2-5F001166A489}"/>
    <cellStyle name="Vírgula 3" xfId="34" xr:uid="{00000000-0005-0000-0000-000028000000}"/>
    <cellStyle name="Vírgula 3 2" xfId="50" xr:uid="{CB86E8ED-1A42-4496-84E9-F81DEF2A4037}"/>
    <cellStyle name="Vírgula 3 2 2" xfId="77" xr:uid="{E1DCA4F0-1078-40C0-B8DF-071EBD6E65BD}"/>
    <cellStyle name="Vírgula 4" xfId="55" xr:uid="{2FA18064-4B86-4C88-9411-4251D79A588F}"/>
    <cellStyle name="Vírgula 4 2" xfId="79" xr:uid="{021E03CB-6E58-4AEB-B4B9-DFE9428B2F4D}"/>
    <cellStyle name="Vírgula 5" xfId="44" xr:uid="{FED1BA4D-5ADC-4BEB-BF5A-1C058410CF05}"/>
    <cellStyle name="Vírgula 5 2" xfId="64" xr:uid="{60510FB0-DAB8-4980-B4BE-5CC0B84DA83E}"/>
    <cellStyle name="Vírgula 6" xfId="71" xr:uid="{EB0B241A-9D01-43C6-A29D-2E2B0BDB71E4}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100853</xdr:colOff>
      <xdr:row>79</xdr:row>
      <xdr:rowOff>0</xdr:rowOff>
    </xdr:from>
    <xdr:ext cx="5010149" cy="3237160"/>
    <xdr:pic>
      <xdr:nvPicPr>
        <xdr:cNvPr id="2" name="Imagem 1" descr="Tabela-GG-50.jpg">
          <a:extLst>
            <a:ext uri="{FF2B5EF4-FFF2-40B4-BE49-F238E27FC236}">
              <a16:creationId xmlns:a16="http://schemas.microsoft.com/office/drawing/2014/main" id="{C2AA92A4-F342-4E96-AFB0-6A5193DA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79</xdr:row>
      <xdr:rowOff>0</xdr:rowOff>
    </xdr:from>
    <xdr:ext cx="5010149" cy="3237160"/>
    <xdr:pic>
      <xdr:nvPicPr>
        <xdr:cNvPr id="3" name="Imagem 2" descr="Tabela-GG-50.jpg">
          <a:extLst>
            <a:ext uri="{FF2B5EF4-FFF2-40B4-BE49-F238E27FC236}">
              <a16:creationId xmlns:a16="http://schemas.microsoft.com/office/drawing/2014/main" id="{C734B624-22AE-4DF5-A8C5-0410F17A0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79</xdr:row>
      <xdr:rowOff>0</xdr:rowOff>
    </xdr:from>
    <xdr:ext cx="5010149" cy="3237160"/>
    <xdr:pic>
      <xdr:nvPicPr>
        <xdr:cNvPr id="4" name="Imagem 3" descr="Tabela-GG-50.jpg">
          <a:extLst>
            <a:ext uri="{FF2B5EF4-FFF2-40B4-BE49-F238E27FC236}">
              <a16:creationId xmlns:a16="http://schemas.microsoft.com/office/drawing/2014/main" id="{13A125C7-464B-4E64-8FC3-FD882271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79</xdr:row>
      <xdr:rowOff>0</xdr:rowOff>
    </xdr:from>
    <xdr:ext cx="5010149" cy="3237160"/>
    <xdr:pic>
      <xdr:nvPicPr>
        <xdr:cNvPr id="5" name="Imagem 4" descr="Tabela-GG-50.jpg">
          <a:extLst>
            <a:ext uri="{FF2B5EF4-FFF2-40B4-BE49-F238E27FC236}">
              <a16:creationId xmlns:a16="http://schemas.microsoft.com/office/drawing/2014/main" id="{0031864D-7D10-4C45-A8A7-4B23D2CA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79</xdr:row>
      <xdr:rowOff>0</xdr:rowOff>
    </xdr:from>
    <xdr:ext cx="5010149" cy="3237160"/>
    <xdr:pic>
      <xdr:nvPicPr>
        <xdr:cNvPr id="6" name="Imagem 5" descr="Tabela-GG-50.jpg">
          <a:extLst>
            <a:ext uri="{FF2B5EF4-FFF2-40B4-BE49-F238E27FC236}">
              <a16:creationId xmlns:a16="http://schemas.microsoft.com/office/drawing/2014/main" id="{77AA989E-BEFA-4AA4-9E09-6276537B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648647</xdr:colOff>
      <xdr:row>23</xdr:row>
      <xdr:rowOff>0</xdr:rowOff>
    </xdr:from>
    <xdr:ext cx="5010149" cy="3237160"/>
    <xdr:pic>
      <xdr:nvPicPr>
        <xdr:cNvPr id="7" name="Imagem 6" descr="Tabela-GG-50.jpg">
          <a:extLst>
            <a:ext uri="{FF2B5EF4-FFF2-40B4-BE49-F238E27FC236}">
              <a16:creationId xmlns:a16="http://schemas.microsoft.com/office/drawing/2014/main" id="{09E77760-03D0-4DCC-AE72-0D53D056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9847" y="18918848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100853</xdr:colOff>
      <xdr:row>651</xdr:row>
      <xdr:rowOff>0</xdr:rowOff>
    </xdr:from>
    <xdr:ext cx="5010149" cy="3237160"/>
    <xdr:pic>
      <xdr:nvPicPr>
        <xdr:cNvPr id="2" name="Imagem 1" descr="Tabela-GG-50.jpg">
          <a:extLst>
            <a:ext uri="{FF2B5EF4-FFF2-40B4-BE49-F238E27FC236}">
              <a16:creationId xmlns:a16="http://schemas.microsoft.com/office/drawing/2014/main" id="{17AE35CD-DF92-41EC-9FA9-CD828106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100853</xdr:colOff>
      <xdr:row>651</xdr:row>
      <xdr:rowOff>0</xdr:rowOff>
    </xdr:from>
    <xdr:ext cx="5010149" cy="3237160"/>
    <xdr:pic>
      <xdr:nvPicPr>
        <xdr:cNvPr id="3" name="Imagem 2" descr="Tabela-GG-50.jpg">
          <a:extLst>
            <a:ext uri="{FF2B5EF4-FFF2-40B4-BE49-F238E27FC236}">
              <a16:creationId xmlns:a16="http://schemas.microsoft.com/office/drawing/2014/main" id="{EFDA1191-FC83-4D54-B96A-11B64F16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100853</xdr:colOff>
      <xdr:row>651</xdr:row>
      <xdr:rowOff>0</xdr:rowOff>
    </xdr:from>
    <xdr:ext cx="5010149" cy="3237160"/>
    <xdr:pic>
      <xdr:nvPicPr>
        <xdr:cNvPr id="4" name="Imagem 3" descr="Tabela-GG-50.jpg">
          <a:extLst>
            <a:ext uri="{FF2B5EF4-FFF2-40B4-BE49-F238E27FC236}">
              <a16:creationId xmlns:a16="http://schemas.microsoft.com/office/drawing/2014/main" id="{AB690369-B6F0-4A02-B658-D6A28259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100853</xdr:colOff>
      <xdr:row>651</xdr:row>
      <xdr:rowOff>0</xdr:rowOff>
    </xdr:from>
    <xdr:ext cx="5010149" cy="3237160"/>
    <xdr:pic>
      <xdr:nvPicPr>
        <xdr:cNvPr id="5" name="Imagem 4" descr="Tabela-GG-50.jpg">
          <a:extLst>
            <a:ext uri="{FF2B5EF4-FFF2-40B4-BE49-F238E27FC236}">
              <a16:creationId xmlns:a16="http://schemas.microsoft.com/office/drawing/2014/main" id="{927D7E69-EAC5-4CDE-A6E1-26E4489B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100853</xdr:colOff>
      <xdr:row>651</xdr:row>
      <xdr:rowOff>0</xdr:rowOff>
    </xdr:from>
    <xdr:ext cx="5010149" cy="3237160"/>
    <xdr:pic>
      <xdr:nvPicPr>
        <xdr:cNvPr id="6" name="Imagem 5" descr="Tabela-GG-50.jpg">
          <a:extLst>
            <a:ext uri="{FF2B5EF4-FFF2-40B4-BE49-F238E27FC236}">
              <a16:creationId xmlns:a16="http://schemas.microsoft.com/office/drawing/2014/main" id="{500E0039-C5B2-4C2F-86DE-CBAD0C23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053" y="11589067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648647</xdr:colOff>
      <xdr:row>114</xdr:row>
      <xdr:rowOff>183173</xdr:rowOff>
    </xdr:from>
    <xdr:ext cx="5010149" cy="3237160"/>
    <xdr:pic>
      <xdr:nvPicPr>
        <xdr:cNvPr id="7" name="Imagem 6" descr="Tabela-GG-50.jpg">
          <a:extLst>
            <a:ext uri="{FF2B5EF4-FFF2-40B4-BE49-F238E27FC236}">
              <a16:creationId xmlns:a16="http://schemas.microsoft.com/office/drawing/2014/main" id="{EBE740DF-DCF9-483C-B239-9E0002F5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9847" y="18918848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685801</xdr:colOff>
      <xdr:row>229</xdr:row>
      <xdr:rowOff>15829</xdr:rowOff>
    </xdr:from>
    <xdr:to>
      <xdr:col>1</xdr:col>
      <xdr:colOff>2095501</xdr:colOff>
      <xdr:row>231</xdr:row>
      <xdr:rowOff>38790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4C569E4-F4D0-4D2C-87F4-2005E183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47926" y="36182254"/>
          <a:ext cx="1409700" cy="384911"/>
        </a:xfrm>
        <a:prstGeom prst="rect">
          <a:avLst/>
        </a:prstGeom>
        <a:noFill/>
      </xdr:spPr>
    </xdr:pic>
    <xdr:clientData/>
  </xdr:twoCellAnchor>
  <xdr:twoCellAnchor>
    <xdr:from>
      <xdr:col>1</xdr:col>
      <xdr:colOff>723900</xdr:colOff>
      <xdr:row>221</xdr:row>
      <xdr:rowOff>38100</xdr:rowOff>
    </xdr:from>
    <xdr:to>
      <xdr:col>1</xdr:col>
      <xdr:colOff>2133600</xdr:colOff>
      <xdr:row>223</xdr:row>
      <xdr:rowOff>13436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5711C59-F718-43DA-9057-586316E0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86025" y="34928175"/>
          <a:ext cx="1409700" cy="384911"/>
        </a:xfrm>
        <a:prstGeom prst="rect">
          <a:avLst/>
        </a:prstGeom>
        <a:noFill/>
      </xdr:spPr>
    </xdr:pic>
    <xdr:clientData/>
  </xdr:twoCellAnchor>
  <xdr:twoCellAnchor>
    <xdr:from>
      <xdr:col>1</xdr:col>
      <xdr:colOff>628650</xdr:colOff>
      <xdr:row>237</xdr:row>
      <xdr:rowOff>57150</xdr:rowOff>
    </xdr:from>
    <xdr:to>
      <xdr:col>1</xdr:col>
      <xdr:colOff>2038350</xdr:colOff>
      <xdr:row>239</xdr:row>
      <xdr:rowOff>32486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E212608-86BD-42BE-BA1A-F995E009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90775" y="37452300"/>
          <a:ext cx="1409700" cy="3849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61</xdr:row>
      <xdr:rowOff>11301</xdr:rowOff>
    </xdr:from>
    <xdr:to>
      <xdr:col>1</xdr:col>
      <xdr:colOff>4000501</xdr:colOff>
      <xdr:row>64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3351" y="15213201"/>
          <a:ext cx="3943350" cy="76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1</xdr:col>
      <xdr:colOff>581025</xdr:colOff>
      <xdr:row>61</xdr:row>
      <xdr:rowOff>19050</xdr:rowOff>
    </xdr:from>
    <xdr:to>
      <xdr:col>1</xdr:col>
      <xdr:colOff>3190875</xdr:colOff>
      <xdr:row>64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15220950"/>
          <a:ext cx="2609850" cy="7048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457200</xdr:colOff>
      <xdr:row>61</xdr:row>
      <xdr:rowOff>0</xdr:rowOff>
    </xdr:from>
    <xdr:to>
      <xdr:col>1</xdr:col>
      <xdr:colOff>3415393</xdr:colOff>
      <xdr:row>64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33400" y="15201900"/>
          <a:ext cx="2958193" cy="771524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1876425</xdr:colOff>
      <xdr:row>62</xdr:row>
      <xdr:rowOff>95250</xdr:rowOff>
    </xdr:from>
    <xdr:to>
      <xdr:col>1</xdr:col>
      <xdr:colOff>2333625</xdr:colOff>
      <xdr:row>64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952625" y="15506700"/>
          <a:ext cx="457200" cy="3809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1571624</xdr:colOff>
      <xdr:row>62</xdr:row>
      <xdr:rowOff>57150</xdr:rowOff>
    </xdr:from>
    <xdr:to>
      <xdr:col>1</xdr:col>
      <xdr:colOff>2419349</xdr:colOff>
      <xdr:row>64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647824" y="15468600"/>
          <a:ext cx="847725" cy="504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32</xdr:row>
          <xdr:rowOff>152400</xdr:rowOff>
        </xdr:from>
        <xdr:to>
          <xdr:col>1</xdr:col>
          <xdr:colOff>4648200</xdr:colOff>
          <xdr:row>36</xdr:row>
          <xdr:rowOff>161925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&amp;B%20-%20Prefeituras\Bom%20Jardim\-%20Passagens%20Molhadas%20(CAIXA)%20-%20&#218;ltimo%20Ajuste\Or&#231;amento%20-%20Passagens%20Molhadas\Vers&#227;o%20passada\MEMORIAS%20DE%20CALCULO%20PMS%20BJ%20_rev10%20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s%20compartilhados/BREJO%20DA%20MADRE%20DE%20DEUS/_PROJETOS/2022/_CAIXA%20-%20923519-2021%20-%20Constru&#231;&#227;o%20de%20pra&#231;a%20p&#250;blica%20(Mirante)/_Licita&#231;&#227;o/Or&#231;amento/PO-PLQ-CFF%20PRACA+PAVIMENTACAO%20923519-2021%20RE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0</v>
          </cell>
        </row>
      </sheetData>
      <sheetData sheetId="16"/>
      <sheetData sheetId="17"/>
      <sheetData sheetId="18">
        <row r="1">
          <cell r="B1">
            <v>0</v>
          </cell>
        </row>
      </sheetData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  <sheetName val="Programações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  <sheetName val="Poço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CAM_BAIXO)"/>
      <sheetName val="(CAM_CIMA)"/>
      <sheetName val="SONDAGEM CAMARÁ DE CIMA"/>
      <sheetName val="SONDAGEM CAMARÁ DE BAIXO"/>
      <sheetName val="MEMÓRIA GERAL (SINAPI)"/>
      <sheetName val="2.Memória Auxiliar - CAM.BAIXO2"/>
      <sheetName val="3. Memória Auxiliar - CAM.CIMA2"/>
      <sheetName val="MEMÓRIA GERAL (SICRO)"/>
      <sheetName val="3. Memória Auxiliar - CAM. CIMA"/>
      <sheetName val="MEMÓRIA GERAL"/>
      <sheetName val="COMPOSIÇÕES"/>
      <sheetName val="COT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  <sheetName val="INSUMOS"/>
      <sheetName val="caracteristicas 1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  <sheetName val="Mat"/>
      <sheetName val="Serv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"/>
      <sheetName val="Materiais"/>
      <sheetName val="Resumo"/>
      <sheetName val="Cronograma"/>
      <sheetName val="Plan1"/>
      <sheetName val="Toposolo+Schahin"/>
      <sheetName val="Toposolo"/>
      <sheetName val="Toposolo-Resumo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5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90D6-387B-42B7-AB4B-6F9FCA44EC32}">
  <sheetPr>
    <tabColor rgb="FF00B050"/>
    <pageSetUpPr fitToPage="1"/>
  </sheetPr>
  <dimension ref="A1:AE79"/>
  <sheetViews>
    <sheetView view="pageBreakPreview" topLeftCell="A8" zoomScale="160" zoomScaleSheetLayoutView="160" workbookViewId="0">
      <pane ySplit="1245" topLeftCell="A76" activePane="bottomLeft"/>
      <selection activeCell="G82" sqref="G1:I1048576"/>
      <selection pane="bottomLeft" activeCell="G62" sqref="G62"/>
    </sheetView>
  </sheetViews>
  <sheetFormatPr defaultRowHeight="11.25" x14ac:dyDescent="0.2"/>
  <cols>
    <col min="1" max="1" width="6.140625" style="34" customWidth="1"/>
    <col min="2" max="2" width="11.42578125" style="34" customWidth="1"/>
    <col min="3" max="3" width="8.85546875" style="34" bestFit="1" customWidth="1"/>
    <col min="4" max="4" width="37.28515625" style="34" customWidth="1"/>
    <col min="5" max="5" width="4.5703125" style="34" bestFit="1" customWidth="1"/>
    <col min="6" max="6" width="9.85546875" style="34" customWidth="1"/>
    <col min="7" max="7" width="10.42578125" style="35" customWidth="1"/>
    <col min="8" max="8" width="10.5703125" style="34" customWidth="1"/>
    <col min="9" max="9" width="13.140625" style="35" customWidth="1"/>
    <col min="10" max="10" width="4.140625" style="34" customWidth="1"/>
    <col min="11" max="11" width="14.140625" style="34" customWidth="1"/>
    <col min="12" max="12" width="14" style="34" customWidth="1"/>
    <col min="13" max="13" width="11.42578125" style="34" customWidth="1"/>
    <col min="14" max="17" width="11.28515625" style="34" customWidth="1"/>
    <col min="18" max="30" width="9.140625" style="34"/>
    <col min="31" max="31" width="0" style="34" hidden="1" customWidth="1"/>
    <col min="32" max="16384" width="9.140625" style="34"/>
  </cols>
  <sheetData>
    <row r="1" spans="1:31" s="10" customFormat="1" ht="17.25" thickTop="1" thickBot="1" x14ac:dyDescent="0.3">
      <c r="A1" s="317" t="s">
        <v>19</v>
      </c>
      <c r="B1" s="318"/>
      <c r="C1" s="318"/>
      <c r="D1" s="318"/>
      <c r="E1" s="318"/>
      <c r="F1" s="318"/>
      <c r="G1" s="319"/>
      <c r="H1" s="318"/>
      <c r="I1" s="320"/>
    </row>
    <row r="2" spans="1:31" s="10" customFormat="1" ht="16.5" thickTop="1" x14ac:dyDescent="0.25">
      <c r="A2" s="11"/>
      <c r="B2" s="11"/>
      <c r="C2" s="11"/>
      <c r="D2" s="11"/>
      <c r="E2" s="11"/>
      <c r="F2" s="12"/>
      <c r="G2" s="13"/>
      <c r="H2" s="12"/>
      <c r="I2" s="13"/>
    </row>
    <row r="3" spans="1:31" s="18" customFormat="1" ht="12.75" x14ac:dyDescent="0.2">
      <c r="A3" s="15" t="s">
        <v>634</v>
      </c>
      <c r="B3" s="15"/>
      <c r="C3" s="16"/>
      <c r="D3" s="16"/>
      <c r="E3" s="16"/>
      <c r="F3" s="16"/>
      <c r="G3" s="17"/>
      <c r="H3" s="16"/>
      <c r="I3" s="16"/>
      <c r="K3" s="19" t="s">
        <v>262</v>
      </c>
      <c r="L3" s="19" t="s">
        <v>263</v>
      </c>
      <c r="M3" s="10"/>
      <c r="N3" s="10"/>
      <c r="O3" s="10"/>
      <c r="P3" s="10"/>
      <c r="Q3" s="10"/>
      <c r="R3" s="10"/>
    </row>
    <row r="4" spans="1:31" s="18" customFormat="1" ht="12.75" x14ac:dyDescent="0.2">
      <c r="A4" s="15" t="s">
        <v>392</v>
      </c>
      <c r="B4" s="15"/>
      <c r="D4" s="14"/>
      <c r="E4" s="14"/>
      <c r="F4" s="14"/>
      <c r="G4" s="20"/>
      <c r="H4" s="14"/>
      <c r="I4" s="20"/>
      <c r="K4" s="21">
        <v>0.26529999999999998</v>
      </c>
      <c r="L4" s="21">
        <v>0.20499999999999999</v>
      </c>
      <c r="M4" s="10"/>
      <c r="N4" s="10"/>
      <c r="O4" s="10"/>
      <c r="P4" s="10"/>
      <c r="Q4" s="10"/>
      <c r="R4" s="10"/>
    </row>
    <row r="5" spans="1:31" s="18" customFormat="1" ht="12.75" x14ac:dyDescent="0.2">
      <c r="A5" s="15" t="s">
        <v>443</v>
      </c>
      <c r="B5" s="15"/>
      <c r="D5" s="14"/>
      <c r="E5" s="14"/>
      <c r="F5" s="14"/>
      <c r="G5" s="20"/>
      <c r="H5" s="14"/>
      <c r="I5" s="20"/>
      <c r="K5" s="10"/>
      <c r="L5" s="10"/>
      <c r="M5" s="10"/>
      <c r="N5" s="10"/>
      <c r="O5" s="10"/>
      <c r="P5" s="10"/>
      <c r="Q5" s="10"/>
      <c r="R5" s="10"/>
    </row>
    <row r="6" spans="1:31" s="18" customFormat="1" ht="13.5" thickBot="1" x14ac:dyDescent="0.25">
      <c r="A6" s="22" t="s">
        <v>565</v>
      </c>
      <c r="B6" s="22"/>
      <c r="D6" s="14"/>
      <c r="E6" s="14"/>
      <c r="F6" s="14"/>
      <c r="G6" s="20"/>
      <c r="H6" s="14"/>
      <c r="I6" s="20"/>
      <c r="K6" s="10"/>
      <c r="L6" s="10"/>
      <c r="M6" s="10"/>
      <c r="N6" s="10"/>
      <c r="O6" s="10"/>
      <c r="P6" s="10"/>
      <c r="Q6" s="10"/>
      <c r="R6" s="10"/>
    </row>
    <row r="7" spans="1:31" s="10" customFormat="1" ht="12" thickBot="1" x14ac:dyDescent="0.25">
      <c r="A7" s="6"/>
      <c r="B7" s="6"/>
      <c r="C7" s="6"/>
      <c r="D7" s="7"/>
      <c r="E7" s="8"/>
      <c r="F7" s="9"/>
      <c r="G7" s="327" t="s">
        <v>264</v>
      </c>
      <c r="H7" s="328"/>
      <c r="I7" s="329"/>
    </row>
    <row r="8" spans="1:31" s="258" customFormat="1" ht="23.25" thickBot="1" x14ac:dyDescent="0.3">
      <c r="A8" s="251" t="s">
        <v>1</v>
      </c>
      <c r="B8" s="252" t="s">
        <v>57</v>
      </c>
      <c r="C8" s="252" t="s">
        <v>18</v>
      </c>
      <c r="D8" s="252" t="s">
        <v>2</v>
      </c>
      <c r="E8" s="252" t="s">
        <v>3</v>
      </c>
      <c r="F8" s="254" t="s">
        <v>54</v>
      </c>
      <c r="G8" s="255" t="s">
        <v>95</v>
      </c>
      <c r="H8" s="256" t="s">
        <v>96</v>
      </c>
      <c r="I8" s="257" t="s">
        <v>97</v>
      </c>
      <c r="K8" s="259"/>
      <c r="AE8" s="23"/>
    </row>
    <row r="9" spans="1:31" s="30" customFormat="1" x14ac:dyDescent="0.2">
      <c r="A9" s="24"/>
      <c r="B9" s="211"/>
      <c r="C9" s="211"/>
      <c r="D9" s="25"/>
      <c r="E9" s="26"/>
      <c r="F9" s="27"/>
      <c r="G9" s="28"/>
      <c r="H9" s="29"/>
      <c r="I9" s="27"/>
    </row>
    <row r="10" spans="1:31" s="30" customFormat="1" ht="15" customHeight="1" x14ac:dyDescent="0.2">
      <c r="A10" s="311" t="s">
        <v>633</v>
      </c>
      <c r="B10" s="312"/>
      <c r="C10" s="312"/>
      <c r="D10" s="312"/>
      <c r="E10" s="312"/>
      <c r="F10" s="312"/>
      <c r="G10" s="312"/>
      <c r="H10" s="312"/>
      <c r="I10" s="313"/>
    </row>
    <row r="11" spans="1:31" s="30" customFormat="1" x14ac:dyDescent="0.2">
      <c r="A11" s="213" t="s">
        <v>166</v>
      </c>
      <c r="B11" s="214"/>
      <c r="C11" s="214"/>
      <c r="D11" s="215" t="s">
        <v>8</v>
      </c>
      <c r="E11" s="216"/>
      <c r="F11" s="218"/>
      <c r="G11" s="219"/>
      <c r="H11" s="220"/>
      <c r="I11" s="221">
        <f>SUM(I12:I12)</f>
        <v>2995.6</v>
      </c>
    </row>
    <row r="12" spans="1:31" s="277" customFormat="1" ht="33.75" x14ac:dyDescent="0.2">
      <c r="A12" s="269" t="s">
        <v>167</v>
      </c>
      <c r="B12" s="270" t="s">
        <v>56</v>
      </c>
      <c r="C12" s="271" t="s">
        <v>220</v>
      </c>
      <c r="D12" s="272" t="s">
        <v>221</v>
      </c>
      <c r="E12" s="273" t="s">
        <v>101</v>
      </c>
      <c r="F12" s="274">
        <v>8</v>
      </c>
      <c r="G12" s="275" t="s">
        <v>328</v>
      </c>
      <c r="H12" s="276">
        <f>ROUND(G12*(1+$L$4),2)</f>
        <v>374.45</v>
      </c>
      <c r="I12" s="274">
        <f>TRUNC(F12*H12,2)</f>
        <v>2995.6</v>
      </c>
      <c r="AE12" s="30"/>
    </row>
    <row r="13" spans="1:31" s="30" customFormat="1" x14ac:dyDescent="0.2">
      <c r="A13" s="213" t="s">
        <v>168</v>
      </c>
      <c r="B13" s="214"/>
      <c r="C13" s="214"/>
      <c r="D13" s="215" t="s">
        <v>212</v>
      </c>
      <c r="E13" s="216"/>
      <c r="F13" s="218"/>
      <c r="G13" s="219"/>
      <c r="H13" s="220"/>
      <c r="I13" s="221">
        <f>SUM(I14:I14)</f>
        <v>11412.95</v>
      </c>
    </row>
    <row r="14" spans="1:31" s="277" customFormat="1" x14ac:dyDescent="0.2">
      <c r="A14" s="269" t="s">
        <v>9</v>
      </c>
      <c r="B14" s="270" t="s">
        <v>183</v>
      </c>
      <c r="C14" s="271" t="s">
        <v>113</v>
      </c>
      <c r="D14" s="272" t="s">
        <v>223</v>
      </c>
      <c r="E14" s="273" t="s">
        <v>103</v>
      </c>
      <c r="F14" s="274">
        <v>1</v>
      </c>
      <c r="G14" s="275">
        <f>COMPOSIÇÕES!I20</f>
        <v>9471.33</v>
      </c>
      <c r="H14" s="276">
        <f>ROUND(G14*(1+$L$4),2)</f>
        <v>11412.95</v>
      </c>
      <c r="I14" s="274">
        <f>TRUNC(F14*H14,2)</f>
        <v>11412.95</v>
      </c>
      <c r="AE14" s="30"/>
    </row>
    <row r="15" spans="1:31" s="30" customFormat="1" x14ac:dyDescent="0.2">
      <c r="A15" s="213" t="s">
        <v>169</v>
      </c>
      <c r="B15" s="214"/>
      <c r="C15" s="214"/>
      <c r="D15" s="215" t="s">
        <v>37</v>
      </c>
      <c r="E15" s="216"/>
      <c r="F15" s="218"/>
      <c r="G15" s="219"/>
      <c r="H15" s="220"/>
      <c r="I15" s="221">
        <f>SUM(I16:I18)</f>
        <v>14784.279999999999</v>
      </c>
    </row>
    <row r="16" spans="1:31" s="277" customFormat="1" ht="22.5" x14ac:dyDescent="0.2">
      <c r="A16" s="269" t="s">
        <v>10</v>
      </c>
      <c r="B16" s="270" t="s">
        <v>56</v>
      </c>
      <c r="C16" s="270" t="s">
        <v>104</v>
      </c>
      <c r="D16" s="272" t="s">
        <v>123</v>
      </c>
      <c r="E16" s="273" t="s">
        <v>106</v>
      </c>
      <c r="F16" s="274">
        <v>77.28</v>
      </c>
      <c r="G16" s="275" t="s">
        <v>329</v>
      </c>
      <c r="H16" s="276">
        <f>ROUND(G16*(1+$L$4),2)</f>
        <v>96.67</v>
      </c>
      <c r="I16" s="274">
        <f>TRUNC(F16*H16,2)</f>
        <v>7470.65</v>
      </c>
      <c r="AE16" s="30"/>
    </row>
    <row r="17" spans="1:31" s="277" customFormat="1" ht="22.5" x14ac:dyDescent="0.2">
      <c r="A17" s="269" t="s">
        <v>11</v>
      </c>
      <c r="B17" s="270" t="s">
        <v>56</v>
      </c>
      <c r="C17" s="270" t="s">
        <v>229</v>
      </c>
      <c r="D17" s="272" t="s">
        <v>230</v>
      </c>
      <c r="E17" s="273" t="s">
        <v>106</v>
      </c>
      <c r="F17" s="274">
        <v>66.09</v>
      </c>
      <c r="G17" s="275" t="s">
        <v>330</v>
      </c>
      <c r="H17" s="276">
        <f>ROUND(G17*(1+$L$4),2)</f>
        <v>93.35</v>
      </c>
      <c r="I17" s="274">
        <f>TRUNC(F17*H17,2)</f>
        <v>6169.5</v>
      </c>
      <c r="AE17" s="30"/>
    </row>
    <row r="18" spans="1:31" s="277" customFormat="1" ht="22.5" x14ac:dyDescent="0.2">
      <c r="A18" s="269" t="s">
        <v>209</v>
      </c>
      <c r="B18" s="270" t="s">
        <v>56</v>
      </c>
      <c r="C18" s="270" t="s">
        <v>231</v>
      </c>
      <c r="D18" s="272" t="s">
        <v>232</v>
      </c>
      <c r="E18" s="273" t="s">
        <v>106</v>
      </c>
      <c r="F18" s="274">
        <v>46.34</v>
      </c>
      <c r="G18" s="275" t="s">
        <v>331</v>
      </c>
      <c r="H18" s="276">
        <f>ROUND(G18*(1+$L$4),2)</f>
        <v>24.69</v>
      </c>
      <c r="I18" s="274">
        <f>TRUNC(F18*H18,2)</f>
        <v>1144.1300000000001</v>
      </c>
      <c r="AE18" s="30"/>
    </row>
    <row r="19" spans="1:31" s="30" customFormat="1" x14ac:dyDescent="0.2">
      <c r="A19" s="213" t="s">
        <v>170</v>
      </c>
      <c r="B19" s="214"/>
      <c r="C19" s="214"/>
      <c r="D19" s="215" t="s">
        <v>47</v>
      </c>
      <c r="E19" s="216"/>
      <c r="F19" s="218"/>
      <c r="G19" s="219"/>
      <c r="H19" s="220"/>
      <c r="I19" s="221">
        <f>SUM(I20:I26)</f>
        <v>63321.91</v>
      </c>
    </row>
    <row r="20" spans="1:31" s="277" customFormat="1" ht="22.5" x14ac:dyDescent="0.2">
      <c r="A20" s="269" t="s">
        <v>13</v>
      </c>
      <c r="B20" s="270" t="s">
        <v>56</v>
      </c>
      <c r="C20" s="270">
        <v>96620</v>
      </c>
      <c r="D20" s="272" t="s">
        <v>110</v>
      </c>
      <c r="E20" s="273" t="s">
        <v>106</v>
      </c>
      <c r="F20" s="274">
        <v>5.9500000000000011</v>
      </c>
      <c r="G20" s="275" t="s">
        <v>332</v>
      </c>
      <c r="H20" s="276">
        <f t="shared" ref="H20:H26" si="0">ROUND(G20*(1+$L$4),2)</f>
        <v>874.17</v>
      </c>
      <c r="I20" s="274">
        <f t="shared" ref="I20:I26" si="1">TRUNC(F20*H20,2)</f>
        <v>5201.3100000000004</v>
      </c>
      <c r="AE20" s="30"/>
    </row>
    <row r="21" spans="1:31" s="277" customFormat="1" ht="33.75" x14ac:dyDescent="0.2">
      <c r="A21" s="269" t="s">
        <v>14</v>
      </c>
      <c r="B21" s="270" t="s">
        <v>56</v>
      </c>
      <c r="C21" s="270">
        <v>96535</v>
      </c>
      <c r="D21" s="272" t="s">
        <v>393</v>
      </c>
      <c r="E21" s="273" t="s">
        <v>101</v>
      </c>
      <c r="F21" s="274">
        <v>24.64</v>
      </c>
      <c r="G21" s="275">
        <v>130.9</v>
      </c>
      <c r="H21" s="276">
        <f t="shared" si="0"/>
        <v>157.72999999999999</v>
      </c>
      <c r="I21" s="274">
        <f t="shared" si="1"/>
        <v>3886.46</v>
      </c>
      <c r="AE21" s="30"/>
    </row>
    <row r="22" spans="1:31" s="277" customFormat="1" ht="33.75" x14ac:dyDescent="0.2">
      <c r="A22" s="269" t="s">
        <v>444</v>
      </c>
      <c r="B22" s="270" t="s">
        <v>56</v>
      </c>
      <c r="C22" s="270">
        <v>96536</v>
      </c>
      <c r="D22" s="272" t="s">
        <v>279</v>
      </c>
      <c r="E22" s="273" t="s">
        <v>101</v>
      </c>
      <c r="F22" s="274">
        <v>152.58000000000001</v>
      </c>
      <c r="G22" s="275" t="s">
        <v>333</v>
      </c>
      <c r="H22" s="276">
        <f t="shared" si="0"/>
        <v>83.57</v>
      </c>
      <c r="I22" s="274">
        <f t="shared" si="1"/>
        <v>12751.11</v>
      </c>
      <c r="AE22" s="30"/>
    </row>
    <row r="23" spans="1:31" s="277" customFormat="1" ht="33.75" x14ac:dyDescent="0.2">
      <c r="A23" s="269" t="s">
        <v>445</v>
      </c>
      <c r="B23" s="270" t="s">
        <v>56</v>
      </c>
      <c r="C23" s="270">
        <v>96546</v>
      </c>
      <c r="D23" s="272" t="s">
        <v>267</v>
      </c>
      <c r="E23" s="273" t="s">
        <v>268</v>
      </c>
      <c r="F23" s="274">
        <v>815.8399999999998</v>
      </c>
      <c r="G23" s="275" t="s">
        <v>334</v>
      </c>
      <c r="H23" s="276">
        <f t="shared" si="0"/>
        <v>15.92</v>
      </c>
      <c r="I23" s="274">
        <f t="shared" si="1"/>
        <v>12988.17</v>
      </c>
      <c r="AE23" s="30"/>
    </row>
    <row r="24" spans="1:31" s="277" customFormat="1" ht="33.75" x14ac:dyDescent="0.2">
      <c r="A24" s="269" t="s">
        <v>446</v>
      </c>
      <c r="B24" s="270" t="s">
        <v>56</v>
      </c>
      <c r="C24" s="270">
        <v>92759</v>
      </c>
      <c r="D24" s="278" t="s">
        <v>274</v>
      </c>
      <c r="E24" s="273" t="s">
        <v>268</v>
      </c>
      <c r="F24" s="274">
        <v>290.93</v>
      </c>
      <c r="G24" s="275" t="s">
        <v>335</v>
      </c>
      <c r="H24" s="276">
        <f t="shared" si="0"/>
        <v>15.94</v>
      </c>
      <c r="I24" s="274">
        <f t="shared" si="1"/>
        <v>4637.42</v>
      </c>
      <c r="AE24" s="30"/>
    </row>
    <row r="25" spans="1:31" s="277" customFormat="1" ht="33.75" x14ac:dyDescent="0.2">
      <c r="A25" s="269" t="s">
        <v>447</v>
      </c>
      <c r="B25" s="270" t="s">
        <v>56</v>
      </c>
      <c r="C25" s="270">
        <v>94966</v>
      </c>
      <c r="D25" s="278" t="s">
        <v>319</v>
      </c>
      <c r="E25" s="273" t="s">
        <v>106</v>
      </c>
      <c r="F25" s="274">
        <v>24.989999999999995</v>
      </c>
      <c r="G25" s="275" t="s">
        <v>336</v>
      </c>
      <c r="H25" s="276">
        <f t="shared" si="0"/>
        <v>622.08000000000004</v>
      </c>
      <c r="I25" s="274">
        <f t="shared" si="1"/>
        <v>15545.77</v>
      </c>
      <c r="AE25" s="30"/>
    </row>
    <row r="26" spans="1:31" s="277" customFormat="1" ht="33.75" x14ac:dyDescent="0.2">
      <c r="A26" s="269" t="s">
        <v>448</v>
      </c>
      <c r="B26" s="270" t="s">
        <v>56</v>
      </c>
      <c r="C26" s="270">
        <v>103670</v>
      </c>
      <c r="D26" s="278" t="s">
        <v>278</v>
      </c>
      <c r="E26" s="273" t="s">
        <v>106</v>
      </c>
      <c r="F26" s="274">
        <v>24.99</v>
      </c>
      <c r="G26" s="275" t="s">
        <v>337</v>
      </c>
      <c r="H26" s="276">
        <f t="shared" si="0"/>
        <v>332.6</v>
      </c>
      <c r="I26" s="274">
        <f t="shared" si="1"/>
        <v>8311.67</v>
      </c>
      <c r="AE26" s="30"/>
    </row>
    <row r="27" spans="1:31" s="30" customFormat="1" x14ac:dyDescent="0.2">
      <c r="A27" s="213" t="s">
        <v>171</v>
      </c>
      <c r="B27" s="214"/>
      <c r="C27" s="214"/>
      <c r="D27" s="215" t="s">
        <v>38</v>
      </c>
      <c r="E27" s="216"/>
      <c r="F27" s="218"/>
      <c r="G27" s="219"/>
      <c r="H27" s="220"/>
      <c r="I27" s="221">
        <f>SUM(I28:I37)</f>
        <v>221807.33000000002</v>
      </c>
    </row>
    <row r="28" spans="1:31" s="277" customFormat="1" ht="45" x14ac:dyDescent="0.2">
      <c r="A28" s="269" t="s">
        <v>15</v>
      </c>
      <c r="B28" s="270" t="s">
        <v>56</v>
      </c>
      <c r="C28" s="270">
        <v>92435</v>
      </c>
      <c r="D28" s="278" t="s">
        <v>280</v>
      </c>
      <c r="E28" s="273" t="s">
        <v>101</v>
      </c>
      <c r="F28" s="274">
        <v>203.22</v>
      </c>
      <c r="G28" s="275" t="s">
        <v>338</v>
      </c>
      <c r="H28" s="276">
        <f t="shared" ref="H28:H37" si="2">ROUND(G28*(1+$L$4),2)</f>
        <v>74.94</v>
      </c>
      <c r="I28" s="274">
        <f t="shared" ref="I28:I37" si="3">TRUNC(F28*H28,2)</f>
        <v>15229.3</v>
      </c>
      <c r="AE28" s="30"/>
    </row>
    <row r="29" spans="1:31" s="277" customFormat="1" ht="45" x14ac:dyDescent="0.2">
      <c r="A29" s="269" t="s">
        <v>197</v>
      </c>
      <c r="B29" s="270" t="s">
        <v>56</v>
      </c>
      <c r="C29" s="270">
        <v>92468</v>
      </c>
      <c r="D29" s="278" t="s">
        <v>281</v>
      </c>
      <c r="E29" s="273" t="s">
        <v>101</v>
      </c>
      <c r="F29" s="274">
        <v>287.82000000000005</v>
      </c>
      <c r="G29" s="275" t="s">
        <v>339</v>
      </c>
      <c r="H29" s="276">
        <f t="shared" si="2"/>
        <v>151.63</v>
      </c>
      <c r="I29" s="274">
        <f t="shared" si="3"/>
        <v>43642.14</v>
      </c>
      <c r="AE29" s="30"/>
    </row>
    <row r="30" spans="1:31" s="277" customFormat="1" ht="33.75" x14ac:dyDescent="0.2">
      <c r="A30" s="269" t="s">
        <v>16</v>
      </c>
      <c r="B30" s="270" t="s">
        <v>56</v>
      </c>
      <c r="C30" s="270">
        <v>92762</v>
      </c>
      <c r="D30" s="278" t="s">
        <v>272</v>
      </c>
      <c r="E30" s="273" t="s">
        <v>268</v>
      </c>
      <c r="F30" s="274">
        <v>732.90000000000009</v>
      </c>
      <c r="G30" s="275" t="s">
        <v>340</v>
      </c>
      <c r="H30" s="276">
        <f t="shared" si="2"/>
        <v>12.63</v>
      </c>
      <c r="I30" s="274">
        <f t="shared" si="3"/>
        <v>9256.52</v>
      </c>
      <c r="K30" s="277" t="s">
        <v>510</v>
      </c>
      <c r="AE30" s="30"/>
    </row>
    <row r="31" spans="1:31" s="277" customFormat="1" ht="33.75" x14ac:dyDescent="0.2">
      <c r="A31" s="269" t="s">
        <v>17</v>
      </c>
      <c r="B31" s="270" t="s">
        <v>56</v>
      </c>
      <c r="C31" s="270">
        <v>92763</v>
      </c>
      <c r="D31" s="278" t="s">
        <v>273</v>
      </c>
      <c r="E31" s="273" t="s">
        <v>268</v>
      </c>
      <c r="F31" s="274">
        <v>1798.0500000000002</v>
      </c>
      <c r="G31" s="275" t="s">
        <v>341</v>
      </c>
      <c r="H31" s="276">
        <f t="shared" si="2"/>
        <v>10.62</v>
      </c>
      <c r="I31" s="274">
        <f t="shared" si="3"/>
        <v>19095.29</v>
      </c>
      <c r="AE31" s="30"/>
    </row>
    <row r="32" spans="1:31" s="277" customFormat="1" ht="36.75" customHeight="1" x14ac:dyDescent="0.2">
      <c r="A32" s="269" t="s">
        <v>449</v>
      </c>
      <c r="B32" s="270" t="s">
        <v>56</v>
      </c>
      <c r="C32" s="270">
        <v>92759</v>
      </c>
      <c r="D32" s="278" t="s">
        <v>274</v>
      </c>
      <c r="E32" s="273" t="s">
        <v>268</v>
      </c>
      <c r="F32" s="274">
        <v>733.63</v>
      </c>
      <c r="G32" s="275" t="s">
        <v>335</v>
      </c>
      <c r="H32" s="276">
        <f t="shared" si="2"/>
        <v>15.94</v>
      </c>
      <c r="I32" s="274">
        <f t="shared" si="3"/>
        <v>11694.06</v>
      </c>
      <c r="AE32" s="30"/>
    </row>
    <row r="33" spans="1:31" s="277" customFormat="1" ht="60" customHeight="1" x14ac:dyDescent="0.2">
      <c r="A33" s="269" t="s">
        <v>450</v>
      </c>
      <c r="B33" s="270" t="s">
        <v>56</v>
      </c>
      <c r="C33" s="270">
        <v>104110</v>
      </c>
      <c r="D33" s="278" t="s">
        <v>324</v>
      </c>
      <c r="E33" s="273" t="s">
        <v>268</v>
      </c>
      <c r="F33" s="274">
        <v>116.62</v>
      </c>
      <c r="G33" s="275" t="s">
        <v>342</v>
      </c>
      <c r="H33" s="276">
        <f t="shared" si="2"/>
        <v>20.21</v>
      </c>
      <c r="I33" s="274">
        <f t="shared" si="3"/>
        <v>2356.89</v>
      </c>
      <c r="AE33" s="30"/>
    </row>
    <row r="34" spans="1:31" s="277" customFormat="1" ht="56.25" customHeight="1" x14ac:dyDescent="0.2">
      <c r="A34" s="269" t="s">
        <v>451</v>
      </c>
      <c r="B34" s="270" t="s">
        <v>56</v>
      </c>
      <c r="C34" s="270">
        <v>94966</v>
      </c>
      <c r="D34" s="278" t="s">
        <v>319</v>
      </c>
      <c r="E34" s="273" t="s">
        <v>106</v>
      </c>
      <c r="F34" s="274">
        <v>36.68</v>
      </c>
      <c r="G34" s="275" t="s">
        <v>336</v>
      </c>
      <c r="H34" s="276">
        <f t="shared" si="2"/>
        <v>622.08000000000004</v>
      </c>
      <c r="I34" s="274">
        <f t="shared" si="3"/>
        <v>22817.89</v>
      </c>
      <c r="AE34" s="30"/>
    </row>
    <row r="35" spans="1:31" s="277" customFormat="1" ht="56.25" customHeight="1" x14ac:dyDescent="0.2">
      <c r="A35" s="269" t="s">
        <v>452</v>
      </c>
      <c r="B35" s="270" t="s">
        <v>56</v>
      </c>
      <c r="C35" s="270" t="s">
        <v>277</v>
      </c>
      <c r="D35" s="278" t="s">
        <v>278</v>
      </c>
      <c r="E35" s="273" t="s">
        <v>106</v>
      </c>
      <c r="F35" s="274">
        <v>36.68</v>
      </c>
      <c r="G35" s="275" t="s">
        <v>337</v>
      </c>
      <c r="H35" s="276">
        <f t="shared" si="2"/>
        <v>332.6</v>
      </c>
      <c r="I35" s="274">
        <f t="shared" si="3"/>
        <v>12199.76</v>
      </c>
      <c r="AE35" s="30"/>
    </row>
    <row r="36" spans="1:31" s="277" customFormat="1" ht="57.75" customHeight="1" x14ac:dyDescent="0.2">
      <c r="A36" s="269" t="s">
        <v>453</v>
      </c>
      <c r="B36" s="279" t="s">
        <v>56</v>
      </c>
      <c r="C36" s="279">
        <v>101963</v>
      </c>
      <c r="D36" s="272" t="s">
        <v>146</v>
      </c>
      <c r="E36" s="273" t="s">
        <v>101</v>
      </c>
      <c r="F36" s="274">
        <v>353.8</v>
      </c>
      <c r="G36" s="275" t="s">
        <v>343</v>
      </c>
      <c r="H36" s="276">
        <f t="shared" si="2"/>
        <v>240.87</v>
      </c>
      <c r="I36" s="274">
        <f t="shared" si="3"/>
        <v>85219.8</v>
      </c>
      <c r="AE36" s="30"/>
    </row>
    <row r="37" spans="1:31" s="277" customFormat="1" ht="22.5" customHeight="1" x14ac:dyDescent="0.2">
      <c r="A37" s="269" t="s">
        <v>454</v>
      </c>
      <c r="B37" s="279" t="s">
        <v>56</v>
      </c>
      <c r="C37" s="279" t="s">
        <v>344</v>
      </c>
      <c r="D37" s="272" t="s">
        <v>345</v>
      </c>
      <c r="E37" s="273" t="s">
        <v>12</v>
      </c>
      <c r="F37" s="274">
        <v>11.6</v>
      </c>
      <c r="G37" s="275" t="s">
        <v>346</v>
      </c>
      <c r="H37" s="276">
        <f t="shared" si="2"/>
        <v>25.49</v>
      </c>
      <c r="I37" s="274">
        <f t="shared" si="3"/>
        <v>295.68</v>
      </c>
      <c r="AE37" s="30"/>
    </row>
    <row r="38" spans="1:31" s="30" customFormat="1" x14ac:dyDescent="0.2">
      <c r="A38" s="213" t="s">
        <v>172</v>
      </c>
      <c r="B38" s="214"/>
      <c r="C38" s="214"/>
      <c r="D38" s="215" t="s">
        <v>40</v>
      </c>
      <c r="E38" s="216"/>
      <c r="F38" s="218"/>
      <c r="G38" s="219"/>
      <c r="H38" s="220"/>
      <c r="I38" s="221">
        <f>SUM(I39:I43)</f>
        <v>46739.199999999997</v>
      </c>
    </row>
    <row r="39" spans="1:31" s="277" customFormat="1" ht="45" x14ac:dyDescent="0.2">
      <c r="A39" s="269" t="s">
        <v>20</v>
      </c>
      <c r="B39" s="270" t="s">
        <v>56</v>
      </c>
      <c r="C39" s="270" t="s">
        <v>184</v>
      </c>
      <c r="D39" s="272" t="s">
        <v>185</v>
      </c>
      <c r="E39" s="273" t="s">
        <v>101</v>
      </c>
      <c r="F39" s="274">
        <v>179.93</v>
      </c>
      <c r="G39" s="275" t="s">
        <v>347</v>
      </c>
      <c r="H39" s="276">
        <f>ROUND(G39*(1+$L$4),2)</f>
        <v>98.17</v>
      </c>
      <c r="I39" s="274">
        <f>TRUNC(F39*H39,2)</f>
        <v>17663.72</v>
      </c>
      <c r="AE39" s="30"/>
    </row>
    <row r="40" spans="1:31" s="277" customFormat="1" ht="45" x14ac:dyDescent="0.2">
      <c r="A40" s="269" t="s">
        <v>21</v>
      </c>
      <c r="B40" s="270" t="s">
        <v>56</v>
      </c>
      <c r="C40" s="270" t="s">
        <v>105</v>
      </c>
      <c r="D40" s="272" t="s">
        <v>111</v>
      </c>
      <c r="E40" s="273" t="s">
        <v>101</v>
      </c>
      <c r="F40" s="274">
        <v>359.86</v>
      </c>
      <c r="G40" s="275">
        <v>4.26</v>
      </c>
      <c r="H40" s="276">
        <f>ROUND(G40*(1+$L$4),2)</f>
        <v>5.13</v>
      </c>
      <c r="I40" s="274">
        <f>TRUNC(F40*H40,2)</f>
        <v>1846.08</v>
      </c>
      <c r="AE40" s="30"/>
    </row>
    <row r="41" spans="1:31" s="277" customFormat="1" ht="56.25" x14ac:dyDescent="0.2">
      <c r="A41" s="269" t="s">
        <v>22</v>
      </c>
      <c r="B41" s="270" t="s">
        <v>56</v>
      </c>
      <c r="C41" s="270" t="s">
        <v>186</v>
      </c>
      <c r="D41" s="272" t="s">
        <v>187</v>
      </c>
      <c r="E41" s="273" t="s">
        <v>101</v>
      </c>
      <c r="F41" s="274">
        <v>359.86</v>
      </c>
      <c r="G41" s="275" t="s">
        <v>348</v>
      </c>
      <c r="H41" s="276">
        <f>ROUND(G41*(1+$L$4),2)</f>
        <v>49.06</v>
      </c>
      <c r="I41" s="274">
        <f>TRUNC(F41*H41,2)</f>
        <v>17654.73</v>
      </c>
      <c r="AE41" s="30"/>
    </row>
    <row r="42" spans="1:31" s="277" customFormat="1" ht="45" x14ac:dyDescent="0.2">
      <c r="A42" s="269" t="s">
        <v>198</v>
      </c>
      <c r="B42" s="270" t="s">
        <v>350</v>
      </c>
      <c r="C42" s="270">
        <v>4442</v>
      </c>
      <c r="D42" s="272" t="s">
        <v>349</v>
      </c>
      <c r="E42" s="273" t="s">
        <v>101</v>
      </c>
      <c r="F42" s="274">
        <v>67.310000000000016</v>
      </c>
      <c r="G42" s="275">
        <v>77.819999999999993</v>
      </c>
      <c r="H42" s="276">
        <f>ROUND(G42*(1+$L$4),2)</f>
        <v>93.77</v>
      </c>
      <c r="I42" s="274">
        <f>TRUNC(F42*H42,2)</f>
        <v>6311.65</v>
      </c>
      <c r="AE42" s="30"/>
    </row>
    <row r="43" spans="1:31" s="277" customFormat="1" ht="45" x14ac:dyDescent="0.2">
      <c r="A43" s="269" t="s">
        <v>455</v>
      </c>
      <c r="B43" s="270" t="s">
        <v>56</v>
      </c>
      <c r="C43" s="270" t="s">
        <v>387</v>
      </c>
      <c r="D43" s="272" t="s">
        <v>388</v>
      </c>
      <c r="E43" s="273" t="s">
        <v>101</v>
      </c>
      <c r="F43" s="274">
        <v>12.84</v>
      </c>
      <c r="G43" s="275" t="s">
        <v>389</v>
      </c>
      <c r="H43" s="276">
        <f>ROUND(G43*(1+$L$4),2)</f>
        <v>254.13</v>
      </c>
      <c r="I43" s="274">
        <f>TRUNC(F43*H43,2)</f>
        <v>3263.02</v>
      </c>
      <c r="AE43" s="30"/>
    </row>
    <row r="44" spans="1:31" s="30" customFormat="1" x14ac:dyDescent="0.2">
      <c r="A44" s="213" t="s">
        <v>173</v>
      </c>
      <c r="B44" s="214"/>
      <c r="C44" s="214"/>
      <c r="D44" s="215" t="s">
        <v>41</v>
      </c>
      <c r="E44" s="216"/>
      <c r="F44" s="218"/>
      <c r="G44" s="219"/>
      <c r="H44" s="220"/>
      <c r="I44" s="221">
        <f>SUM(I45:I46)</f>
        <v>52006.29</v>
      </c>
    </row>
    <row r="45" spans="1:31" s="277" customFormat="1" ht="56.25" x14ac:dyDescent="0.2">
      <c r="A45" s="269" t="s">
        <v>29</v>
      </c>
      <c r="B45" s="270" t="s">
        <v>56</v>
      </c>
      <c r="C45" s="270">
        <v>87630</v>
      </c>
      <c r="D45" s="272" t="s">
        <v>351</v>
      </c>
      <c r="E45" s="273" t="s">
        <v>101</v>
      </c>
      <c r="F45" s="274">
        <v>328.53</v>
      </c>
      <c r="G45" s="275" t="s">
        <v>352</v>
      </c>
      <c r="H45" s="276">
        <f>ROUND(G45*(1+$L$4),2)</f>
        <v>48.07</v>
      </c>
      <c r="I45" s="274">
        <f>TRUNC(F45*H45,2)</f>
        <v>15792.43</v>
      </c>
      <c r="AE45" s="30"/>
    </row>
    <row r="46" spans="1:31" s="277" customFormat="1" ht="67.5" x14ac:dyDescent="0.2">
      <c r="A46" s="269" t="s">
        <v>30</v>
      </c>
      <c r="B46" s="270" t="s">
        <v>56</v>
      </c>
      <c r="C46" s="270" t="s">
        <v>353</v>
      </c>
      <c r="D46" s="272" t="s">
        <v>354</v>
      </c>
      <c r="E46" s="273" t="s">
        <v>101</v>
      </c>
      <c r="F46" s="274">
        <v>328.53</v>
      </c>
      <c r="G46" s="275" t="s">
        <v>355</v>
      </c>
      <c r="H46" s="276">
        <f>ROUND(G46*(1+$L$4),2)</f>
        <v>110.23</v>
      </c>
      <c r="I46" s="274">
        <f>TRUNC(F46*H46,2)</f>
        <v>36213.86</v>
      </c>
      <c r="AE46" s="30"/>
    </row>
    <row r="47" spans="1:31" s="30" customFormat="1" x14ac:dyDescent="0.2">
      <c r="A47" s="213" t="s">
        <v>174</v>
      </c>
      <c r="B47" s="214"/>
      <c r="C47" s="214"/>
      <c r="D47" s="215" t="s">
        <v>39</v>
      </c>
      <c r="E47" s="216"/>
      <c r="F47" s="218"/>
      <c r="G47" s="219"/>
      <c r="H47" s="220"/>
      <c r="I47" s="221">
        <f>SUM(I48:I51)</f>
        <v>53339</v>
      </c>
    </row>
    <row r="48" spans="1:31" s="277" customFormat="1" ht="45" x14ac:dyDescent="0.2">
      <c r="A48" s="269" t="s">
        <v>31</v>
      </c>
      <c r="B48" s="279" t="s">
        <v>56</v>
      </c>
      <c r="C48" s="279" t="s">
        <v>233</v>
      </c>
      <c r="D48" s="272" t="s">
        <v>234</v>
      </c>
      <c r="E48" s="273" t="s">
        <v>101</v>
      </c>
      <c r="F48" s="274">
        <v>168.66</v>
      </c>
      <c r="G48" s="275" t="s">
        <v>356</v>
      </c>
      <c r="H48" s="276">
        <f>ROUND(G48*(1+$L$4),2)</f>
        <v>103.45</v>
      </c>
      <c r="I48" s="274">
        <f>TRUNC(F48*H48,2)</f>
        <v>17447.87</v>
      </c>
      <c r="AE48" s="30"/>
    </row>
    <row r="49" spans="1:31" s="277" customFormat="1" ht="56.25" x14ac:dyDescent="0.2">
      <c r="A49" s="269" t="s">
        <v>94</v>
      </c>
      <c r="B49" s="279" t="s">
        <v>56</v>
      </c>
      <c r="C49" s="279" t="s">
        <v>385</v>
      </c>
      <c r="D49" s="272" t="s">
        <v>386</v>
      </c>
      <c r="E49" s="273" t="s">
        <v>268</v>
      </c>
      <c r="F49" s="274">
        <v>1021.57</v>
      </c>
      <c r="G49" s="275">
        <v>12.99</v>
      </c>
      <c r="H49" s="276">
        <f>ROUND(G49*(1+$L$4),2)</f>
        <v>15.65</v>
      </c>
      <c r="I49" s="274">
        <f>TRUNC(F49*H49,2)</f>
        <v>15987.57</v>
      </c>
      <c r="AE49" s="30"/>
    </row>
    <row r="50" spans="1:31" s="277" customFormat="1" ht="33.75" x14ac:dyDescent="0.2">
      <c r="A50" s="269" t="s">
        <v>203</v>
      </c>
      <c r="B50" s="279" t="s">
        <v>56</v>
      </c>
      <c r="C50" s="279" t="s">
        <v>235</v>
      </c>
      <c r="D50" s="272" t="s">
        <v>236</v>
      </c>
      <c r="E50" s="273" t="s">
        <v>101</v>
      </c>
      <c r="F50" s="274">
        <v>168.66</v>
      </c>
      <c r="G50" s="275" t="s">
        <v>357</v>
      </c>
      <c r="H50" s="276">
        <f>ROUND(G50*(1+$L$4),2)</f>
        <v>61.07</v>
      </c>
      <c r="I50" s="274">
        <f>TRUNC(F50*H50,2)</f>
        <v>10300.06</v>
      </c>
      <c r="AE50" s="30"/>
    </row>
    <row r="51" spans="1:31" s="277" customFormat="1" ht="22.5" x14ac:dyDescent="0.2">
      <c r="A51" s="269" t="s">
        <v>252</v>
      </c>
      <c r="B51" s="279" t="s">
        <v>56</v>
      </c>
      <c r="C51" s="279" t="s">
        <v>164</v>
      </c>
      <c r="D51" s="272" t="s">
        <v>165</v>
      </c>
      <c r="E51" s="273" t="s">
        <v>101</v>
      </c>
      <c r="F51" s="274">
        <v>168.66</v>
      </c>
      <c r="G51" s="275" t="s">
        <v>358</v>
      </c>
      <c r="H51" s="276">
        <f>ROUND(G51*(1+$L$4),2)</f>
        <v>56.94</v>
      </c>
      <c r="I51" s="274">
        <f>TRUNC(F51*H51,2)</f>
        <v>9603.5</v>
      </c>
      <c r="AE51" s="30"/>
    </row>
    <row r="52" spans="1:31" s="30" customFormat="1" x14ac:dyDescent="0.2">
      <c r="A52" s="213" t="s">
        <v>175</v>
      </c>
      <c r="B52" s="214"/>
      <c r="C52" s="214"/>
      <c r="D52" s="215" t="s">
        <v>42</v>
      </c>
      <c r="E52" s="216"/>
      <c r="F52" s="218"/>
      <c r="G52" s="219"/>
      <c r="H52" s="220"/>
      <c r="I52" s="221">
        <f>SUM(I53:I54)</f>
        <v>21569.71</v>
      </c>
    </row>
    <row r="53" spans="1:31" s="277" customFormat="1" ht="36" customHeight="1" x14ac:dyDescent="0.2">
      <c r="A53" s="269" t="s">
        <v>32</v>
      </c>
      <c r="B53" s="279" t="s">
        <v>56</v>
      </c>
      <c r="C53" s="279">
        <v>91341</v>
      </c>
      <c r="D53" s="272" t="s">
        <v>550</v>
      </c>
      <c r="E53" s="273" t="s">
        <v>103</v>
      </c>
      <c r="F53" s="274">
        <v>4.2</v>
      </c>
      <c r="G53" s="275">
        <v>429.69</v>
      </c>
      <c r="H53" s="276">
        <f>ROUND(G53*(1+$L$4),2)</f>
        <v>517.78</v>
      </c>
      <c r="I53" s="274">
        <f>TRUNC(F53*H53,2)</f>
        <v>2174.67</v>
      </c>
      <c r="AE53" s="30"/>
    </row>
    <row r="54" spans="1:31" s="277" customFormat="1" ht="67.5" x14ac:dyDescent="0.2">
      <c r="A54" s="269" t="s">
        <v>456</v>
      </c>
      <c r="B54" s="279" t="s">
        <v>56</v>
      </c>
      <c r="C54" s="279" t="s">
        <v>436</v>
      </c>
      <c r="D54" s="272" t="s">
        <v>437</v>
      </c>
      <c r="E54" s="273" t="s">
        <v>101</v>
      </c>
      <c r="F54" s="274">
        <v>13.5</v>
      </c>
      <c r="G54" s="275" t="s">
        <v>438</v>
      </c>
      <c r="H54" s="276">
        <f>ROUND(G54*(1+$L$4),2)</f>
        <v>1436.67</v>
      </c>
      <c r="I54" s="274">
        <f>TRUNC(F54*H54,2)</f>
        <v>19395.04</v>
      </c>
      <c r="AE54" s="30"/>
    </row>
    <row r="55" spans="1:31" s="30" customFormat="1" x14ac:dyDescent="0.2">
      <c r="A55" s="213" t="s">
        <v>176</v>
      </c>
      <c r="B55" s="214"/>
      <c r="C55" s="214"/>
      <c r="D55" s="215" t="s">
        <v>43</v>
      </c>
      <c r="E55" s="216"/>
      <c r="F55" s="218"/>
      <c r="G55" s="219"/>
      <c r="H55" s="220"/>
      <c r="I55" s="221">
        <f>SUM(I56:I57)</f>
        <v>9768.42</v>
      </c>
    </row>
    <row r="56" spans="1:31" s="277" customFormat="1" ht="22.5" x14ac:dyDescent="0.2">
      <c r="A56" s="269" t="s">
        <v>33</v>
      </c>
      <c r="B56" s="270" t="s">
        <v>56</v>
      </c>
      <c r="C56" s="270" t="s">
        <v>107</v>
      </c>
      <c r="D56" s="272" t="s">
        <v>359</v>
      </c>
      <c r="E56" s="273" t="s">
        <v>101</v>
      </c>
      <c r="F56" s="274">
        <v>461.21</v>
      </c>
      <c r="G56" s="275">
        <v>4.32</v>
      </c>
      <c r="H56" s="276">
        <f>ROUND(G56*(1+$L$4),2)</f>
        <v>5.21</v>
      </c>
      <c r="I56" s="274">
        <f>TRUNC(F56*H56,2)</f>
        <v>2402.9</v>
      </c>
      <c r="AE56" s="30"/>
    </row>
    <row r="57" spans="1:31" s="277" customFormat="1" ht="22.5" x14ac:dyDescent="0.2">
      <c r="A57" s="269" t="s">
        <v>199</v>
      </c>
      <c r="B57" s="270" t="s">
        <v>56</v>
      </c>
      <c r="C57" s="270" t="s">
        <v>108</v>
      </c>
      <c r="D57" s="272" t="s">
        <v>112</v>
      </c>
      <c r="E57" s="273" t="s">
        <v>101</v>
      </c>
      <c r="F57" s="274">
        <v>461.21</v>
      </c>
      <c r="G57" s="275">
        <v>13.25</v>
      </c>
      <c r="H57" s="276">
        <f>ROUND(G57*(1+$L$4),2)</f>
        <v>15.97</v>
      </c>
      <c r="I57" s="274">
        <f>TRUNC(F57*H57,2)</f>
        <v>7365.52</v>
      </c>
      <c r="AE57" s="30"/>
    </row>
    <row r="58" spans="1:31" s="30" customFormat="1" x14ac:dyDescent="0.2">
      <c r="A58" s="213" t="s">
        <v>161</v>
      </c>
      <c r="B58" s="214"/>
      <c r="C58" s="214"/>
      <c r="D58" s="215" t="s">
        <v>44</v>
      </c>
      <c r="E58" s="216"/>
      <c r="F58" s="218"/>
      <c r="G58" s="219"/>
      <c r="H58" s="220"/>
      <c r="I58" s="221">
        <f>SUM(I59:I72)</f>
        <v>14377.35</v>
      </c>
    </row>
    <row r="59" spans="1:31" s="277" customFormat="1" ht="45" x14ac:dyDescent="0.2">
      <c r="A59" s="269" t="s">
        <v>34</v>
      </c>
      <c r="B59" s="270" t="s">
        <v>183</v>
      </c>
      <c r="C59" s="280" t="s">
        <v>566</v>
      </c>
      <c r="D59" s="272" t="s">
        <v>190</v>
      </c>
      <c r="E59" s="273" t="s">
        <v>103</v>
      </c>
      <c r="F59" s="274">
        <v>32</v>
      </c>
      <c r="G59" s="275">
        <f>COMPOSIÇÕES!H46</f>
        <v>50.41</v>
      </c>
      <c r="H59" s="276">
        <f t="shared" ref="H59:H72" si="4">ROUND(G59*(1+$L$4),2)</f>
        <v>60.74</v>
      </c>
      <c r="I59" s="274">
        <f t="shared" ref="I59:I72" si="5">TRUNC(F59*H59,2)</f>
        <v>1943.68</v>
      </c>
      <c r="AE59" s="30"/>
    </row>
    <row r="60" spans="1:31" s="277" customFormat="1" ht="56.25" x14ac:dyDescent="0.2">
      <c r="A60" s="269" t="s">
        <v>35</v>
      </c>
      <c r="B60" s="270" t="s">
        <v>183</v>
      </c>
      <c r="C60" s="280" t="s">
        <v>440</v>
      </c>
      <c r="D60" s="272" t="s">
        <v>238</v>
      </c>
      <c r="E60" s="273" t="s">
        <v>103</v>
      </c>
      <c r="F60" s="274">
        <v>1</v>
      </c>
      <c r="G60" s="275">
        <f>COMPOSIÇÕES!H28</f>
        <v>150.63999999999999</v>
      </c>
      <c r="H60" s="276">
        <f t="shared" si="4"/>
        <v>181.52</v>
      </c>
      <c r="I60" s="274">
        <f t="shared" si="5"/>
        <v>181.52</v>
      </c>
      <c r="AE60" s="30"/>
    </row>
    <row r="61" spans="1:31" s="277" customFormat="1" ht="56.25" x14ac:dyDescent="0.2">
      <c r="A61" s="269" t="s">
        <v>200</v>
      </c>
      <c r="B61" s="270" t="s">
        <v>183</v>
      </c>
      <c r="C61" s="280" t="s">
        <v>567</v>
      </c>
      <c r="D61" s="272" t="str">
        <f>COMPOSIÇÕES!A55</f>
        <v>COMPOSIÇÃO PARAMÉTRICA DE PONTO ELÉTRICO DE TOMADA DE USO GERAL 2P+T (10A/250V) EM EDIFÍCIO RESIDENCIAL COM ELETRODUTO EMBUTIDO EM RASGOS NAS PAREDES, INCLUSO TOMADA, ELETRODUTO, CABO, RASGO, QUEBRA E CHUMBAMENTO. AF_11/2022</v>
      </c>
      <c r="E61" s="273" t="s">
        <v>103</v>
      </c>
      <c r="F61" s="274">
        <v>9</v>
      </c>
      <c r="G61" s="275">
        <f>COMPOSIÇÕES!H60</f>
        <v>134.71</v>
      </c>
      <c r="H61" s="276">
        <f t="shared" si="4"/>
        <v>162.33000000000001</v>
      </c>
      <c r="I61" s="274">
        <f t="shared" si="5"/>
        <v>1460.97</v>
      </c>
      <c r="AE61" s="30"/>
    </row>
    <row r="62" spans="1:31" s="277" customFormat="1" ht="67.5" x14ac:dyDescent="0.2">
      <c r="A62" s="269" t="s">
        <v>201</v>
      </c>
      <c r="B62" s="270" t="s">
        <v>183</v>
      </c>
      <c r="C62" s="280" t="s">
        <v>568</v>
      </c>
      <c r="D62" s="272" t="str">
        <f>COMPOSIÇÕES!A74</f>
        <v>COMPOSIÇÃO PARAMÉTRICA DE PONTO ELÉTRICO DE TOMADA DE USO ESPECÍFICO 2P+T (20A/250V) EM EDIFÍCIO RESIDENCIAL COM ELETRODUTO EMBUTIDO EM RASGOS NAS PAREDES, INCLUSO TOMADA, ELETRODUTO, CABO, RASGO, QUEBRA E CHUMBAMENTO (EXCETO CHUVEIRO). AF_11/2022</v>
      </c>
      <c r="E62" s="273" t="s">
        <v>103</v>
      </c>
      <c r="F62" s="274">
        <v>4</v>
      </c>
      <c r="G62" s="275">
        <f>COMPOSIÇÕES!H79</f>
        <v>172.81</v>
      </c>
      <c r="H62" s="276">
        <f t="shared" si="4"/>
        <v>208.24</v>
      </c>
      <c r="I62" s="274">
        <f t="shared" si="5"/>
        <v>832.96</v>
      </c>
      <c r="AE62" s="30"/>
    </row>
    <row r="63" spans="1:31" s="277" customFormat="1" ht="45" x14ac:dyDescent="0.2">
      <c r="A63" s="269" t="s">
        <v>253</v>
      </c>
      <c r="B63" s="270" t="s">
        <v>350</v>
      </c>
      <c r="C63" s="270">
        <v>12021</v>
      </c>
      <c r="D63" s="272" t="s">
        <v>360</v>
      </c>
      <c r="E63" s="273" t="s">
        <v>103</v>
      </c>
      <c r="F63" s="274">
        <v>32</v>
      </c>
      <c r="G63" s="275">
        <v>174.78</v>
      </c>
      <c r="H63" s="276">
        <f t="shared" si="4"/>
        <v>210.61</v>
      </c>
      <c r="I63" s="274">
        <f t="shared" si="5"/>
        <v>6739.52</v>
      </c>
      <c r="AE63" s="30"/>
    </row>
    <row r="64" spans="1:31" s="277" customFormat="1" ht="22.5" x14ac:dyDescent="0.2">
      <c r="A64" s="269" t="s">
        <v>254</v>
      </c>
      <c r="B64" s="270" t="s">
        <v>56</v>
      </c>
      <c r="C64" s="270">
        <v>39391</v>
      </c>
      <c r="D64" s="272" t="s">
        <v>241</v>
      </c>
      <c r="E64" s="273" t="s">
        <v>138</v>
      </c>
      <c r="F64" s="274">
        <v>4</v>
      </c>
      <c r="G64" s="275" t="s">
        <v>361</v>
      </c>
      <c r="H64" s="276">
        <f t="shared" si="4"/>
        <v>61.5</v>
      </c>
      <c r="I64" s="274">
        <f t="shared" si="5"/>
        <v>246</v>
      </c>
      <c r="AE64" s="30"/>
    </row>
    <row r="65" spans="1:31" s="277" customFormat="1" ht="45" x14ac:dyDescent="0.2">
      <c r="A65" s="269" t="s">
        <v>255</v>
      </c>
      <c r="B65" s="270" t="s">
        <v>56</v>
      </c>
      <c r="C65" s="270" t="s">
        <v>242</v>
      </c>
      <c r="D65" s="272" t="s">
        <v>243</v>
      </c>
      <c r="E65" s="273" t="s">
        <v>103</v>
      </c>
      <c r="F65" s="274">
        <v>1</v>
      </c>
      <c r="G65" s="275" t="s">
        <v>362</v>
      </c>
      <c r="H65" s="276">
        <f t="shared" si="4"/>
        <v>714.58</v>
      </c>
      <c r="I65" s="274">
        <f t="shared" si="5"/>
        <v>714.58</v>
      </c>
      <c r="AE65" s="30"/>
    </row>
    <row r="66" spans="1:31" s="277" customFormat="1" ht="33.75" x14ac:dyDescent="0.2">
      <c r="A66" s="269" t="s">
        <v>256</v>
      </c>
      <c r="B66" s="270" t="s">
        <v>56</v>
      </c>
      <c r="C66" s="270" t="s">
        <v>375</v>
      </c>
      <c r="D66" s="272" t="s">
        <v>376</v>
      </c>
      <c r="E66" s="273" t="s">
        <v>100</v>
      </c>
      <c r="F66" s="274">
        <v>45</v>
      </c>
      <c r="G66" s="275">
        <v>21.36</v>
      </c>
      <c r="H66" s="276">
        <f t="shared" si="4"/>
        <v>25.74</v>
      </c>
      <c r="I66" s="274">
        <f t="shared" si="5"/>
        <v>1158.3</v>
      </c>
      <c r="AE66" s="30"/>
    </row>
    <row r="67" spans="1:31" s="277" customFormat="1" ht="22.5" x14ac:dyDescent="0.2">
      <c r="A67" s="269" t="s">
        <v>257</v>
      </c>
      <c r="B67" s="270" t="s">
        <v>56</v>
      </c>
      <c r="C67" s="270" t="s">
        <v>247</v>
      </c>
      <c r="D67" s="272" t="s">
        <v>248</v>
      </c>
      <c r="E67" s="273" t="s">
        <v>103</v>
      </c>
      <c r="F67" s="274">
        <v>2</v>
      </c>
      <c r="G67" s="275" t="s">
        <v>373</v>
      </c>
      <c r="H67" s="276">
        <f t="shared" si="4"/>
        <v>259.22000000000003</v>
      </c>
      <c r="I67" s="274">
        <f t="shared" si="5"/>
        <v>518.44000000000005</v>
      </c>
      <c r="AE67" s="30"/>
    </row>
    <row r="68" spans="1:31" s="277" customFormat="1" ht="33.75" x14ac:dyDescent="0.2">
      <c r="A68" s="269" t="s">
        <v>258</v>
      </c>
      <c r="B68" s="270" t="s">
        <v>56</v>
      </c>
      <c r="C68" s="270" t="s">
        <v>363</v>
      </c>
      <c r="D68" s="272" t="s">
        <v>364</v>
      </c>
      <c r="E68" s="273" t="s">
        <v>103</v>
      </c>
      <c r="F68" s="274">
        <v>3</v>
      </c>
      <c r="G68" s="275" t="s">
        <v>365</v>
      </c>
      <c r="H68" s="276">
        <f t="shared" si="4"/>
        <v>18.88</v>
      </c>
      <c r="I68" s="274">
        <f t="shared" si="5"/>
        <v>56.64</v>
      </c>
      <c r="AE68" s="30"/>
    </row>
    <row r="69" spans="1:31" s="277" customFormat="1" ht="33.75" x14ac:dyDescent="0.2">
      <c r="A69" s="269" t="s">
        <v>259</v>
      </c>
      <c r="B69" s="270" t="s">
        <v>56</v>
      </c>
      <c r="C69" s="270" t="s">
        <v>366</v>
      </c>
      <c r="D69" s="272" t="s">
        <v>367</v>
      </c>
      <c r="E69" s="273" t="s">
        <v>103</v>
      </c>
      <c r="F69" s="274">
        <v>6</v>
      </c>
      <c r="G69" s="275" t="s">
        <v>368</v>
      </c>
      <c r="H69" s="276">
        <f t="shared" si="4"/>
        <v>20.71</v>
      </c>
      <c r="I69" s="274">
        <f t="shared" si="5"/>
        <v>124.26</v>
      </c>
      <c r="AE69" s="30"/>
    </row>
    <row r="70" spans="1:31" s="277" customFormat="1" ht="22.5" x14ac:dyDescent="0.2">
      <c r="A70" s="269" t="s">
        <v>260</v>
      </c>
      <c r="B70" s="270" t="s">
        <v>56</v>
      </c>
      <c r="C70" s="270">
        <v>39471</v>
      </c>
      <c r="D70" s="272" t="s">
        <v>372</v>
      </c>
      <c r="E70" s="273" t="s">
        <v>138</v>
      </c>
      <c r="F70" s="274">
        <v>1</v>
      </c>
      <c r="G70" s="275">
        <v>124</v>
      </c>
      <c r="H70" s="276">
        <f t="shared" si="4"/>
        <v>149.41999999999999</v>
      </c>
      <c r="I70" s="274">
        <f t="shared" si="5"/>
        <v>149.41999999999999</v>
      </c>
      <c r="AE70" s="30"/>
    </row>
    <row r="71" spans="1:31" s="277" customFormat="1" ht="33.75" x14ac:dyDescent="0.2">
      <c r="A71" s="269" t="s">
        <v>261</v>
      </c>
      <c r="B71" s="270" t="s">
        <v>56</v>
      </c>
      <c r="C71" s="270" t="s">
        <v>369</v>
      </c>
      <c r="D71" s="272" t="s">
        <v>370</v>
      </c>
      <c r="E71" s="273" t="s">
        <v>103</v>
      </c>
      <c r="F71" s="274">
        <v>1</v>
      </c>
      <c r="G71" s="275" t="s">
        <v>371</v>
      </c>
      <c r="H71" s="276">
        <f t="shared" si="4"/>
        <v>217.21</v>
      </c>
      <c r="I71" s="274">
        <f t="shared" si="5"/>
        <v>217.21</v>
      </c>
      <c r="AE71" s="30"/>
    </row>
    <row r="72" spans="1:31" s="277" customFormat="1" ht="33.75" x14ac:dyDescent="0.2">
      <c r="A72" s="269" t="s">
        <v>457</v>
      </c>
      <c r="B72" s="270" t="s">
        <v>56</v>
      </c>
      <c r="C72" s="270" t="s">
        <v>250</v>
      </c>
      <c r="D72" s="272" t="s">
        <v>251</v>
      </c>
      <c r="E72" s="273" t="s">
        <v>103</v>
      </c>
      <c r="F72" s="274">
        <v>1</v>
      </c>
      <c r="G72" s="275">
        <v>28.09</v>
      </c>
      <c r="H72" s="276">
        <f t="shared" si="4"/>
        <v>33.85</v>
      </c>
      <c r="I72" s="274">
        <f t="shared" si="5"/>
        <v>33.85</v>
      </c>
      <c r="AE72" s="30"/>
    </row>
    <row r="73" spans="1:31" s="30" customFormat="1" x14ac:dyDescent="0.2">
      <c r="A73" s="213" t="s">
        <v>177</v>
      </c>
      <c r="B73" s="214"/>
      <c r="C73" s="214"/>
      <c r="D73" s="215" t="s">
        <v>46</v>
      </c>
      <c r="E73" s="216"/>
      <c r="F73" s="218"/>
      <c r="G73" s="247"/>
      <c r="H73" s="220"/>
      <c r="I73" s="221">
        <f>SUM(I74:I75)</f>
        <v>1130.48</v>
      </c>
    </row>
    <row r="74" spans="1:31" s="277" customFormat="1" ht="45" x14ac:dyDescent="0.2">
      <c r="A74" s="269" t="s">
        <v>36</v>
      </c>
      <c r="B74" s="270" t="s">
        <v>56</v>
      </c>
      <c r="C74" s="280" t="s">
        <v>377</v>
      </c>
      <c r="D74" s="272" t="s">
        <v>378</v>
      </c>
      <c r="E74" s="273" t="s">
        <v>103</v>
      </c>
      <c r="F74" s="274">
        <v>4</v>
      </c>
      <c r="G74" s="275" t="s">
        <v>379</v>
      </c>
      <c r="H74" s="276">
        <f>ROUND(G74*(1+$L$4),2)</f>
        <v>166.82</v>
      </c>
      <c r="I74" s="274">
        <f>TRUNC(F74*H74,2)</f>
        <v>667.28</v>
      </c>
      <c r="AE74" s="30"/>
    </row>
    <row r="75" spans="1:31" s="277" customFormat="1" ht="33.75" x14ac:dyDescent="0.2">
      <c r="A75" s="269" t="s">
        <v>202</v>
      </c>
      <c r="B75" s="270" t="s">
        <v>56</v>
      </c>
      <c r="C75" s="270" t="s">
        <v>380</v>
      </c>
      <c r="D75" s="272" t="s">
        <v>381</v>
      </c>
      <c r="E75" s="273" t="s">
        <v>100</v>
      </c>
      <c r="F75" s="274">
        <v>24</v>
      </c>
      <c r="G75" s="275">
        <v>16.02</v>
      </c>
      <c r="H75" s="276">
        <f>ROUND(G75*(1+$L$4),2)</f>
        <v>19.3</v>
      </c>
      <c r="I75" s="274">
        <f>TRUNC(F75*H75,2)</f>
        <v>463.2</v>
      </c>
      <c r="AE75" s="30"/>
    </row>
    <row r="76" spans="1:31" s="30" customFormat="1" x14ac:dyDescent="0.2">
      <c r="A76" s="213" t="s">
        <v>178</v>
      </c>
      <c r="B76" s="214"/>
      <c r="C76" s="214"/>
      <c r="D76" s="215" t="s">
        <v>45</v>
      </c>
      <c r="E76" s="216"/>
      <c r="F76" s="218"/>
      <c r="G76" s="219"/>
      <c r="H76" s="220"/>
      <c r="I76" s="221">
        <f>SUM(I77:I78)</f>
        <v>1273.01</v>
      </c>
    </row>
    <row r="77" spans="1:31" s="277" customFormat="1" ht="33.75" x14ac:dyDescent="0.2">
      <c r="A77" s="269" t="s">
        <v>102</v>
      </c>
      <c r="B77" s="270" t="s">
        <v>56</v>
      </c>
      <c r="C77" s="270" t="s">
        <v>382</v>
      </c>
      <c r="D77" s="272" t="s">
        <v>383</v>
      </c>
      <c r="E77" s="273" t="s">
        <v>103</v>
      </c>
      <c r="F77" s="274">
        <v>1</v>
      </c>
      <c r="G77" s="275" t="s">
        <v>384</v>
      </c>
      <c r="H77" s="276">
        <f>ROUND(G77*(1+$L$4),2)</f>
        <v>364.74</v>
      </c>
      <c r="I77" s="274">
        <f>TRUNC(F77*H77,2)</f>
        <v>364.74</v>
      </c>
      <c r="AE77" s="30"/>
    </row>
    <row r="78" spans="1:31" s="277" customFormat="1" ht="23.25" thickBot="1" x14ac:dyDescent="0.25">
      <c r="A78" s="269" t="s">
        <v>204</v>
      </c>
      <c r="B78" s="270" t="s">
        <v>56</v>
      </c>
      <c r="C78" s="270">
        <v>10848</v>
      </c>
      <c r="D78" s="272" t="s">
        <v>458</v>
      </c>
      <c r="E78" s="273" t="s">
        <v>103</v>
      </c>
      <c r="F78" s="274">
        <v>1</v>
      </c>
      <c r="G78" s="275" t="s">
        <v>459</v>
      </c>
      <c r="H78" s="276">
        <f>ROUND(G78*(1+$L$4),2)</f>
        <v>908.27</v>
      </c>
      <c r="I78" s="274">
        <f>TRUNC(F78*H78,2)</f>
        <v>908.27</v>
      </c>
      <c r="AE78" s="30"/>
    </row>
    <row r="79" spans="1:31" s="30" customFormat="1" ht="16.5" thickBot="1" x14ac:dyDescent="0.25">
      <c r="A79" s="314" t="s">
        <v>23</v>
      </c>
      <c r="B79" s="315"/>
      <c r="C79" s="315"/>
      <c r="D79" s="315"/>
      <c r="E79" s="315"/>
      <c r="F79" s="316"/>
      <c r="G79" s="250"/>
      <c r="H79" s="248"/>
      <c r="I79" s="249">
        <f>I11+I13+I15+I19+I27+I38+I44+I47+I52+I55+I58+I73+I76</f>
        <v>514525.52999999997</v>
      </c>
    </row>
  </sheetData>
  <autoFilter ref="A9:I79" xr:uid="{00000000-0009-0000-0000-000000000000}"/>
  <mergeCells count="4">
    <mergeCell ref="A79:F79"/>
    <mergeCell ref="A1:I1"/>
    <mergeCell ref="G7:I7"/>
    <mergeCell ref="A10:I10"/>
  </mergeCells>
  <printOptions horizontalCentered="1"/>
  <pageMargins left="0.59055118110236227" right="0.39370078740157483" top="1.1811023622047245" bottom="0.78740157480314965" header="0.39370078740157483" footer="0.39370078740157483"/>
  <pageSetup paperSize="9" scale="82" fitToHeight="0" orientation="portrait" r:id="rId1"/>
  <headerFooter>
    <oddHeader>&amp;L&amp;G&amp;R&amp;G</oddHeader>
    <oddFooter>&amp;R&amp;"Arial,Normal"&amp;8Pág.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0A74-EB01-45BF-90A0-925314D802B0}">
  <sheetPr>
    <tabColor rgb="FF00B050"/>
    <pageSetUpPr fitToPage="1"/>
  </sheetPr>
  <dimension ref="A1:AD651"/>
  <sheetViews>
    <sheetView view="pageBreakPreview" topLeftCell="A11" zoomScaleSheetLayoutView="100" workbookViewId="0">
      <pane ySplit="765" topLeftCell="A73" activePane="bottomLeft"/>
      <selection activeCell="I11" sqref="I1:I1048576"/>
      <selection pane="bottomLeft" activeCell="J11" sqref="J11"/>
    </sheetView>
  </sheetViews>
  <sheetFormatPr defaultRowHeight="11.25" x14ac:dyDescent="0.2"/>
  <cols>
    <col min="1" max="1" width="6.140625" style="34" customWidth="1"/>
    <col min="2" max="2" width="37.28515625" style="34" customWidth="1"/>
    <col min="3" max="3" width="4.5703125" style="34" bestFit="1" customWidth="1"/>
    <col min="4" max="8" width="9.85546875" style="34" customWidth="1"/>
    <col min="9" max="9" width="4.140625" style="34" customWidth="1"/>
    <col min="10" max="10" width="14.140625" style="34" customWidth="1"/>
    <col min="11" max="11" width="14" style="34" customWidth="1"/>
    <col min="12" max="12" width="11.42578125" style="34" customWidth="1"/>
    <col min="13" max="16" width="11.28515625" style="34" customWidth="1"/>
    <col min="17" max="29" width="9.140625" style="34"/>
    <col min="30" max="30" width="0" style="34" hidden="1" customWidth="1"/>
    <col min="31" max="16384" width="9.140625" style="34"/>
  </cols>
  <sheetData>
    <row r="1" spans="1:30" s="10" customFormat="1" ht="17.25" thickTop="1" thickBot="1" x14ac:dyDescent="0.3">
      <c r="A1" s="317" t="s">
        <v>19</v>
      </c>
      <c r="B1" s="318"/>
      <c r="C1" s="318"/>
      <c r="D1" s="318"/>
      <c r="E1" s="318"/>
      <c r="F1" s="318"/>
      <c r="G1" s="318"/>
      <c r="H1" s="318"/>
    </row>
    <row r="2" spans="1:30" s="10" customFormat="1" ht="17.25" thickTop="1" thickBot="1" x14ac:dyDescent="0.3">
      <c r="A2" s="11"/>
      <c r="B2" s="11"/>
      <c r="C2" s="11"/>
      <c r="D2" s="11"/>
      <c r="E2" s="11"/>
      <c r="F2" s="11"/>
      <c r="G2" s="11"/>
      <c r="H2" s="11"/>
    </row>
    <row r="3" spans="1:30" s="10" customFormat="1" ht="16.5" thickTop="1" x14ac:dyDescent="0.25">
      <c r="A3" s="321" t="s">
        <v>48</v>
      </c>
      <c r="B3" s="322"/>
      <c r="C3" s="322"/>
      <c r="D3" s="322"/>
      <c r="E3" s="322"/>
      <c r="F3" s="322"/>
      <c r="G3" s="322"/>
      <c r="H3" s="323"/>
    </row>
    <row r="4" spans="1:30" s="10" customFormat="1" ht="16.5" thickBot="1" x14ac:dyDescent="0.3">
      <c r="A4" s="324" t="s">
        <v>0</v>
      </c>
      <c r="B4" s="325"/>
      <c r="C4" s="325"/>
      <c r="D4" s="325"/>
      <c r="E4" s="325"/>
      <c r="F4" s="325"/>
      <c r="G4" s="325"/>
      <c r="H4" s="326"/>
    </row>
    <row r="5" spans="1:30" s="10" customFormat="1" ht="12" thickTop="1" x14ac:dyDescent="0.2">
      <c r="A5" s="36"/>
      <c r="B5" s="36"/>
      <c r="C5" s="36"/>
      <c r="D5" s="36"/>
      <c r="E5" s="36"/>
      <c r="F5" s="36"/>
      <c r="G5" s="36"/>
      <c r="H5" s="36"/>
      <c r="J5" s="19" t="s">
        <v>98</v>
      </c>
      <c r="K5" s="19" t="s">
        <v>98</v>
      </c>
    </row>
    <row r="6" spans="1:30" s="18" customFormat="1" ht="12.75" x14ac:dyDescent="0.2">
      <c r="A6" s="15" t="s">
        <v>564</v>
      </c>
      <c r="B6" s="16"/>
      <c r="C6" s="16"/>
      <c r="D6" s="16"/>
      <c r="E6" s="16"/>
      <c r="F6" s="16"/>
      <c r="G6" s="16"/>
      <c r="H6" s="16"/>
      <c r="J6" s="19" t="s">
        <v>262</v>
      </c>
      <c r="K6" s="19" t="s">
        <v>263</v>
      </c>
      <c r="L6" s="10"/>
      <c r="M6" s="10"/>
      <c r="N6" s="10"/>
      <c r="O6" s="10"/>
      <c r="P6" s="10"/>
      <c r="Q6" s="10"/>
    </row>
    <row r="7" spans="1:30" s="18" customFormat="1" ht="12.75" x14ac:dyDescent="0.2">
      <c r="A7" s="15" t="s">
        <v>392</v>
      </c>
      <c r="B7" s="14"/>
      <c r="C7" s="14"/>
      <c r="D7" s="14"/>
      <c r="E7" s="14"/>
      <c r="F7" s="14"/>
      <c r="G7" s="14"/>
      <c r="H7" s="14"/>
      <c r="J7" s="21">
        <v>0.26529999999999998</v>
      </c>
      <c r="K7" s="21">
        <v>0.20499999999999999</v>
      </c>
      <c r="L7" s="10"/>
      <c r="M7" s="10"/>
      <c r="N7" s="10"/>
      <c r="O7" s="10"/>
      <c r="P7" s="10"/>
      <c r="Q7" s="10"/>
    </row>
    <row r="8" spans="1:30" s="18" customFormat="1" ht="24" customHeight="1" x14ac:dyDescent="0.2">
      <c r="A8" s="357" t="s">
        <v>443</v>
      </c>
      <c r="B8" s="357"/>
      <c r="C8" s="357"/>
      <c r="D8" s="357"/>
      <c r="E8" s="357"/>
      <c r="F8" s="357"/>
      <c r="G8" s="357"/>
      <c r="H8" s="357"/>
      <c r="J8" s="10"/>
      <c r="K8" s="10"/>
      <c r="L8" s="10"/>
      <c r="M8" s="10"/>
      <c r="N8" s="10"/>
      <c r="O8" s="10"/>
      <c r="P8" s="10"/>
      <c r="Q8" s="10"/>
    </row>
    <row r="9" spans="1:30" s="18" customFormat="1" ht="12.75" x14ac:dyDescent="0.2">
      <c r="A9" s="22" t="s">
        <v>565</v>
      </c>
      <c r="B9" s="14"/>
      <c r="C9" s="14"/>
      <c r="D9" s="14"/>
      <c r="E9" s="14"/>
      <c r="F9" s="14"/>
      <c r="G9" s="14"/>
      <c r="H9" s="14"/>
      <c r="J9" s="10"/>
      <c r="K9" s="10"/>
      <c r="L9" s="10"/>
      <c r="M9" s="10"/>
      <c r="N9" s="10"/>
      <c r="O9" s="10"/>
      <c r="P9" s="10"/>
      <c r="Q9" s="10"/>
    </row>
    <row r="10" spans="1:30" s="10" customFormat="1" ht="12" thickBot="1" x14ac:dyDescent="0.25">
      <c r="A10" s="6"/>
      <c r="B10" s="7"/>
      <c r="C10" s="8"/>
      <c r="D10" s="9"/>
      <c r="E10" s="9"/>
      <c r="F10" s="9"/>
      <c r="G10" s="9"/>
      <c r="H10" s="9"/>
    </row>
    <row r="11" spans="1:30" s="258" customFormat="1" ht="12" thickBot="1" x14ac:dyDescent="0.3">
      <c r="A11" s="251" t="s">
        <v>1</v>
      </c>
      <c r="B11" s="252" t="s">
        <v>2</v>
      </c>
      <c r="C11" s="252" t="s">
        <v>3</v>
      </c>
      <c r="D11" s="253" t="s">
        <v>4</v>
      </c>
      <c r="E11" s="253" t="s">
        <v>5</v>
      </c>
      <c r="F11" s="253" t="s">
        <v>6</v>
      </c>
      <c r="G11" s="253" t="s">
        <v>109</v>
      </c>
      <c r="H11" s="253" t="s">
        <v>7</v>
      </c>
      <c r="J11" s="259"/>
      <c r="AD11" s="23"/>
    </row>
    <row r="12" spans="1:30" s="30" customFormat="1" x14ac:dyDescent="0.2">
      <c r="A12" s="24"/>
      <c r="B12" s="25"/>
      <c r="C12" s="26"/>
      <c r="D12" s="212"/>
      <c r="E12" s="212"/>
      <c r="F12" s="212"/>
      <c r="G12" s="212"/>
      <c r="H12" s="212"/>
    </row>
    <row r="13" spans="1:30" s="30" customFormat="1" ht="15" customHeight="1" x14ac:dyDescent="0.2">
      <c r="A13" s="358" t="s">
        <v>572</v>
      </c>
      <c r="B13" s="359"/>
      <c r="C13" s="359"/>
      <c r="D13" s="359"/>
      <c r="E13" s="359"/>
      <c r="F13" s="359"/>
      <c r="G13" s="359"/>
      <c r="H13" s="359"/>
    </row>
    <row r="14" spans="1:30" s="30" customFormat="1" x14ac:dyDescent="0.2">
      <c r="A14" s="24"/>
      <c r="B14" s="25"/>
      <c r="C14" s="26"/>
      <c r="D14" s="212"/>
      <c r="E14" s="212"/>
      <c r="F14" s="212"/>
      <c r="G14" s="212"/>
      <c r="H14" s="212"/>
    </row>
    <row r="15" spans="1:30" s="30" customFormat="1" x14ac:dyDescent="0.2">
      <c r="A15" s="213" t="s">
        <v>166</v>
      </c>
      <c r="B15" s="215" t="s">
        <v>8</v>
      </c>
      <c r="C15" s="216"/>
      <c r="D15" s="217"/>
      <c r="E15" s="217"/>
      <c r="F15" s="217"/>
      <c r="G15" s="217"/>
      <c r="H15" s="217"/>
    </row>
    <row r="16" spans="1:30" s="30" customFormat="1" x14ac:dyDescent="0.2">
      <c r="A16" s="31"/>
      <c r="B16" s="223"/>
      <c r="C16" s="32"/>
      <c r="D16" s="224"/>
      <c r="E16" s="224"/>
      <c r="F16" s="224"/>
      <c r="G16" s="224"/>
      <c r="H16" s="224"/>
    </row>
    <row r="17" spans="1:8" s="30" customFormat="1" ht="33.75" x14ac:dyDescent="0.2">
      <c r="A17" s="225" t="s">
        <v>167</v>
      </c>
      <c r="B17" s="226" t="s">
        <v>221</v>
      </c>
      <c r="C17" s="227" t="s">
        <v>101</v>
      </c>
      <c r="D17" s="19"/>
      <c r="E17" s="19"/>
      <c r="F17" s="19"/>
      <c r="G17" s="19"/>
      <c r="H17" s="19"/>
    </row>
    <row r="18" spans="1:8" s="30" customFormat="1" x14ac:dyDescent="0.2">
      <c r="A18" s="31"/>
      <c r="B18" s="229" t="s">
        <v>222</v>
      </c>
      <c r="C18" s="38"/>
      <c r="D18" s="33"/>
      <c r="E18" s="33">
        <v>4</v>
      </c>
      <c r="F18" s="33"/>
      <c r="G18" s="33">
        <v>2</v>
      </c>
      <c r="H18" s="33">
        <f>ROUND(PRODUCT(D18:G18),2)</f>
        <v>8</v>
      </c>
    </row>
    <row r="19" spans="1:8" s="30" customFormat="1" x14ac:dyDescent="0.2">
      <c r="A19" s="31"/>
      <c r="B19" s="39" t="str">
        <f>"Total item "&amp;A17</f>
        <v>Total item 1.1</v>
      </c>
      <c r="C19" s="38"/>
      <c r="D19" s="33"/>
      <c r="E19" s="33"/>
      <c r="F19" s="33"/>
      <c r="G19" s="33"/>
      <c r="H19" s="19">
        <f>SUM(H18:H18)</f>
        <v>8</v>
      </c>
    </row>
    <row r="20" spans="1:8" s="30" customFormat="1" x14ac:dyDescent="0.2">
      <c r="A20" s="31"/>
      <c r="B20" s="223"/>
      <c r="C20" s="32"/>
      <c r="D20" s="224"/>
      <c r="E20" s="224"/>
      <c r="F20" s="224"/>
      <c r="G20" s="224"/>
      <c r="H20" s="224"/>
    </row>
    <row r="21" spans="1:8" s="30" customFormat="1" x14ac:dyDescent="0.2">
      <c r="A21" s="31"/>
      <c r="B21" s="223"/>
      <c r="C21" s="32"/>
      <c r="D21" s="224"/>
      <c r="E21" s="224"/>
      <c r="F21" s="224"/>
      <c r="G21" s="224"/>
      <c r="H21" s="224"/>
    </row>
    <row r="22" spans="1:8" s="30" customFormat="1" x14ac:dyDescent="0.2">
      <c r="A22" s="213" t="s">
        <v>168</v>
      </c>
      <c r="B22" s="215" t="s">
        <v>212</v>
      </c>
      <c r="C22" s="216"/>
      <c r="D22" s="217"/>
      <c r="E22" s="217"/>
      <c r="F22" s="217"/>
      <c r="G22" s="217"/>
      <c r="H22" s="217"/>
    </row>
    <row r="23" spans="1:8" s="30" customFormat="1" x14ac:dyDescent="0.2">
      <c r="A23" s="31"/>
      <c r="B23" s="223"/>
      <c r="C23" s="32"/>
      <c r="D23" s="224"/>
      <c r="E23" s="224"/>
      <c r="F23" s="224"/>
      <c r="G23" s="224"/>
      <c r="H23" s="224"/>
    </row>
    <row r="24" spans="1:8" s="30" customFormat="1" x14ac:dyDescent="0.2">
      <c r="A24" s="225" t="s">
        <v>9</v>
      </c>
      <c r="B24" s="226" t="s">
        <v>223</v>
      </c>
      <c r="C24" s="227" t="s">
        <v>103</v>
      </c>
      <c r="D24" s="19"/>
      <c r="E24" s="228"/>
      <c r="F24" s="19"/>
      <c r="G24" s="19"/>
      <c r="H24" s="19"/>
    </row>
    <row r="25" spans="1:8" s="30" customFormat="1" x14ac:dyDescent="0.2">
      <c r="A25" s="31"/>
      <c r="B25" s="229"/>
      <c r="C25" s="38"/>
      <c r="D25" s="33"/>
      <c r="E25" s="33">
        <v>1</v>
      </c>
      <c r="F25" s="33"/>
      <c r="G25" s="33"/>
      <c r="H25" s="33">
        <f>ROUND(PRODUCT(D25:G25),2)</f>
        <v>1</v>
      </c>
    </row>
    <row r="26" spans="1:8" s="30" customFormat="1" x14ac:dyDescent="0.2">
      <c r="A26" s="31"/>
      <c r="B26" s="39" t="str">
        <f>"Total item "&amp;A24</f>
        <v>Total item 2.1</v>
      </c>
      <c r="C26" s="38"/>
      <c r="D26" s="33"/>
      <c r="E26" s="33"/>
      <c r="F26" s="33"/>
      <c r="G26" s="33"/>
      <c r="H26" s="19">
        <f>SUM(H25:H25)</f>
        <v>1</v>
      </c>
    </row>
    <row r="27" spans="1:8" s="30" customFormat="1" x14ac:dyDescent="0.2">
      <c r="A27" s="31"/>
      <c r="B27" s="223"/>
      <c r="C27" s="32"/>
      <c r="D27" s="224"/>
      <c r="E27" s="224"/>
      <c r="F27" s="224"/>
      <c r="G27" s="224"/>
      <c r="H27" s="224"/>
    </row>
    <row r="28" spans="1:8" s="30" customFormat="1" x14ac:dyDescent="0.2">
      <c r="A28" s="213" t="s">
        <v>169</v>
      </c>
      <c r="B28" s="215" t="s">
        <v>37</v>
      </c>
      <c r="C28" s="216"/>
      <c r="D28" s="217"/>
      <c r="E28" s="217"/>
      <c r="F28" s="217"/>
      <c r="G28" s="217"/>
      <c r="H28" s="217"/>
    </row>
    <row r="29" spans="1:8" s="30" customFormat="1" x14ac:dyDescent="0.2">
      <c r="A29" s="31"/>
      <c r="B29" s="223"/>
      <c r="C29" s="32"/>
      <c r="D29" s="224"/>
      <c r="E29" s="224"/>
      <c r="F29" s="224"/>
      <c r="G29" s="224"/>
      <c r="H29" s="224"/>
    </row>
    <row r="30" spans="1:8" s="30" customFormat="1" ht="22.5" x14ac:dyDescent="0.2">
      <c r="A30" s="225" t="s">
        <v>10</v>
      </c>
      <c r="B30" s="226" t="s">
        <v>123</v>
      </c>
      <c r="C30" s="227" t="s">
        <v>106</v>
      </c>
      <c r="D30" s="19"/>
      <c r="E30" s="19"/>
      <c r="F30" s="19"/>
      <c r="G30" s="19"/>
      <c r="H30" s="19"/>
    </row>
    <row r="31" spans="1:8" s="30" customFormat="1" x14ac:dyDescent="0.2">
      <c r="A31" s="31"/>
      <c r="B31" s="39" t="s">
        <v>180</v>
      </c>
      <c r="C31" s="38"/>
      <c r="D31" s="33"/>
      <c r="E31" s="33"/>
      <c r="F31" s="33"/>
      <c r="G31" s="33"/>
      <c r="H31" s="33"/>
    </row>
    <row r="32" spans="1:8" s="30" customFormat="1" x14ac:dyDescent="0.2">
      <c r="A32" s="31"/>
      <c r="B32" s="229" t="s">
        <v>294</v>
      </c>
      <c r="C32" s="38"/>
      <c r="D32" s="33">
        <v>19</v>
      </c>
      <c r="E32" s="33">
        <v>1.2</v>
      </c>
      <c r="F32" s="33">
        <v>1.2</v>
      </c>
      <c r="G32" s="33">
        <v>1.1000000000000001</v>
      </c>
      <c r="H32" s="33">
        <f>ROUND(PRODUCT(D32:G32),2)</f>
        <v>30.1</v>
      </c>
    </row>
    <row r="33" spans="1:8" s="30" customFormat="1" x14ac:dyDescent="0.2">
      <c r="A33" s="31"/>
      <c r="B33" s="229" t="s">
        <v>295</v>
      </c>
      <c r="C33" s="38"/>
      <c r="D33" s="33">
        <v>10</v>
      </c>
      <c r="E33" s="33">
        <v>1.1000000000000001</v>
      </c>
      <c r="F33" s="33">
        <v>1.1000000000000001</v>
      </c>
      <c r="G33" s="33">
        <v>1.1000000000000001</v>
      </c>
      <c r="H33" s="33">
        <f>ROUND(PRODUCT(D33:G33),2)</f>
        <v>13.31</v>
      </c>
    </row>
    <row r="34" spans="1:8" s="30" customFormat="1" x14ac:dyDescent="0.2">
      <c r="A34" s="31"/>
      <c r="B34" s="229" t="s">
        <v>296</v>
      </c>
      <c r="C34" s="38"/>
      <c r="D34" s="33">
        <v>4</v>
      </c>
      <c r="E34" s="33">
        <v>0.9</v>
      </c>
      <c r="F34" s="33">
        <v>0.9</v>
      </c>
      <c r="G34" s="33">
        <v>1.1000000000000001</v>
      </c>
      <c r="H34" s="33">
        <f>ROUND(PRODUCT(D34:G34),2)</f>
        <v>3.56</v>
      </c>
    </row>
    <row r="35" spans="1:8" s="30" customFormat="1" x14ac:dyDescent="0.2">
      <c r="A35" s="31"/>
      <c r="B35" s="39" t="s">
        <v>208</v>
      </c>
      <c r="C35" s="38"/>
      <c r="D35" s="33"/>
      <c r="E35" s="33"/>
      <c r="F35" s="33"/>
      <c r="G35" s="33"/>
      <c r="H35" s="33"/>
    </row>
    <row r="36" spans="1:8" s="30" customFormat="1" x14ac:dyDescent="0.2">
      <c r="A36" s="31"/>
      <c r="B36" s="229" t="s">
        <v>301</v>
      </c>
      <c r="C36" s="38"/>
      <c r="D36" s="33"/>
      <c r="E36" s="33">
        <v>13.85</v>
      </c>
      <c r="F36" s="33">
        <v>0.4</v>
      </c>
      <c r="G36" s="33">
        <v>0.4</v>
      </c>
      <c r="H36" s="33">
        <f t="shared" ref="H36:H49" si="0">ROUND(PRODUCT(D36:G36),2)</f>
        <v>2.2200000000000002</v>
      </c>
    </row>
    <row r="37" spans="1:8" s="30" customFormat="1" x14ac:dyDescent="0.2">
      <c r="A37" s="31"/>
      <c r="B37" s="229" t="s">
        <v>302</v>
      </c>
      <c r="C37" s="38"/>
      <c r="D37" s="33"/>
      <c r="E37" s="33">
        <v>13.85</v>
      </c>
      <c r="F37" s="33">
        <v>0.4</v>
      </c>
      <c r="G37" s="33">
        <v>0.4</v>
      </c>
      <c r="H37" s="33">
        <f t="shared" si="0"/>
        <v>2.2200000000000002</v>
      </c>
    </row>
    <row r="38" spans="1:8" s="30" customFormat="1" x14ac:dyDescent="0.2">
      <c r="A38" s="31"/>
      <c r="B38" s="229" t="s">
        <v>303</v>
      </c>
      <c r="C38" s="38"/>
      <c r="D38" s="33"/>
      <c r="E38" s="33">
        <v>13.85</v>
      </c>
      <c r="F38" s="33">
        <v>0.4</v>
      </c>
      <c r="G38" s="33">
        <v>0.4</v>
      </c>
      <c r="H38" s="33">
        <f t="shared" si="0"/>
        <v>2.2200000000000002</v>
      </c>
    </row>
    <row r="39" spans="1:8" s="30" customFormat="1" x14ac:dyDescent="0.2">
      <c r="A39" s="31"/>
      <c r="B39" s="229" t="s">
        <v>304</v>
      </c>
      <c r="C39" s="38"/>
      <c r="D39" s="33"/>
      <c r="E39" s="33">
        <f>6.85+6.8+6.85</f>
        <v>20.5</v>
      </c>
      <c r="F39" s="33">
        <v>0.4</v>
      </c>
      <c r="G39" s="33">
        <v>0.4</v>
      </c>
      <c r="H39" s="33">
        <f t="shared" si="0"/>
        <v>3.28</v>
      </c>
    </row>
    <row r="40" spans="1:8" s="30" customFormat="1" x14ac:dyDescent="0.2">
      <c r="A40" s="31"/>
      <c r="B40" s="229" t="s">
        <v>305</v>
      </c>
      <c r="C40" s="38"/>
      <c r="D40" s="33"/>
      <c r="E40" s="33">
        <f>6.85+6.8+6.85</f>
        <v>20.5</v>
      </c>
      <c r="F40" s="33">
        <v>0.4</v>
      </c>
      <c r="G40" s="33">
        <v>0.4</v>
      </c>
      <c r="H40" s="33">
        <f t="shared" si="0"/>
        <v>3.28</v>
      </c>
    </row>
    <row r="41" spans="1:8" s="30" customFormat="1" x14ac:dyDescent="0.2">
      <c r="A41" s="31"/>
      <c r="B41" s="229" t="s">
        <v>306</v>
      </c>
      <c r="C41" s="38"/>
      <c r="D41" s="33"/>
      <c r="E41" s="33">
        <v>13.7</v>
      </c>
      <c r="F41" s="33">
        <v>0.4</v>
      </c>
      <c r="G41" s="33">
        <v>0.4</v>
      </c>
      <c r="H41" s="33">
        <f t="shared" si="0"/>
        <v>2.19</v>
      </c>
    </row>
    <row r="42" spans="1:8" s="30" customFormat="1" x14ac:dyDescent="0.2">
      <c r="A42" s="31"/>
      <c r="B42" s="229" t="s">
        <v>307</v>
      </c>
      <c r="C42" s="38"/>
      <c r="D42" s="33"/>
      <c r="E42" s="33">
        <v>13.7</v>
      </c>
      <c r="F42" s="33">
        <v>0.4</v>
      </c>
      <c r="G42" s="33">
        <v>0.4</v>
      </c>
      <c r="H42" s="33">
        <f t="shared" si="0"/>
        <v>2.19</v>
      </c>
    </row>
    <row r="43" spans="1:8" s="30" customFormat="1" x14ac:dyDescent="0.2">
      <c r="A43" s="31"/>
      <c r="B43" s="229" t="s">
        <v>308</v>
      </c>
      <c r="C43" s="38"/>
      <c r="D43" s="33"/>
      <c r="E43" s="33">
        <v>14.24</v>
      </c>
      <c r="F43" s="33">
        <v>0.4</v>
      </c>
      <c r="G43" s="33">
        <v>0.4</v>
      </c>
      <c r="H43" s="33">
        <f t="shared" si="0"/>
        <v>2.2799999999999998</v>
      </c>
    </row>
    <row r="44" spans="1:8" s="30" customFormat="1" x14ac:dyDescent="0.2">
      <c r="A44" s="31"/>
      <c r="B44" s="229" t="s">
        <v>309</v>
      </c>
      <c r="C44" s="38"/>
      <c r="D44" s="33"/>
      <c r="E44" s="33">
        <v>1.9</v>
      </c>
      <c r="F44" s="33">
        <v>0.35</v>
      </c>
      <c r="G44" s="33">
        <v>0.4</v>
      </c>
      <c r="H44" s="33">
        <f t="shared" si="0"/>
        <v>0.27</v>
      </c>
    </row>
    <row r="45" spans="1:8" s="30" customFormat="1" x14ac:dyDescent="0.2">
      <c r="A45" s="31"/>
      <c r="B45" s="229" t="s">
        <v>310</v>
      </c>
      <c r="C45" s="38"/>
      <c r="D45" s="33"/>
      <c r="E45" s="33">
        <v>24.85</v>
      </c>
      <c r="F45" s="33">
        <v>0.4</v>
      </c>
      <c r="G45" s="33">
        <v>0.4</v>
      </c>
      <c r="H45" s="33">
        <f t="shared" si="0"/>
        <v>3.98</v>
      </c>
    </row>
    <row r="46" spans="1:8" s="30" customFormat="1" x14ac:dyDescent="0.2">
      <c r="A46" s="31"/>
      <c r="B46" s="229" t="s">
        <v>311</v>
      </c>
      <c r="C46" s="38"/>
      <c r="D46" s="33"/>
      <c r="E46" s="33">
        <v>1.9</v>
      </c>
      <c r="F46" s="33">
        <v>0.35</v>
      </c>
      <c r="G46" s="33">
        <v>0.4</v>
      </c>
      <c r="H46" s="33">
        <f t="shared" si="0"/>
        <v>0.27</v>
      </c>
    </row>
    <row r="47" spans="1:8" s="30" customFormat="1" x14ac:dyDescent="0.2">
      <c r="A47" s="31"/>
      <c r="B47" s="229" t="s">
        <v>312</v>
      </c>
      <c r="C47" s="38"/>
      <c r="D47" s="33"/>
      <c r="E47" s="33">
        <v>24.85</v>
      </c>
      <c r="F47" s="33">
        <v>0.4</v>
      </c>
      <c r="G47" s="33">
        <v>0.4</v>
      </c>
      <c r="H47" s="33">
        <f t="shared" si="0"/>
        <v>3.98</v>
      </c>
    </row>
    <row r="48" spans="1:8" s="30" customFormat="1" x14ac:dyDescent="0.2">
      <c r="A48" s="31"/>
      <c r="B48" s="229" t="s">
        <v>313</v>
      </c>
      <c r="C48" s="38"/>
      <c r="D48" s="33"/>
      <c r="E48" s="33">
        <v>1.9</v>
      </c>
      <c r="F48" s="33">
        <v>0.35</v>
      </c>
      <c r="G48" s="33">
        <v>0.4</v>
      </c>
      <c r="H48" s="33">
        <f t="shared" si="0"/>
        <v>0.27</v>
      </c>
    </row>
    <row r="49" spans="1:8" s="30" customFormat="1" x14ac:dyDescent="0.2">
      <c r="A49" s="31"/>
      <c r="B49" s="229" t="s">
        <v>314</v>
      </c>
      <c r="C49" s="38"/>
      <c r="D49" s="33"/>
      <c r="E49" s="33">
        <v>11.85</v>
      </c>
      <c r="F49" s="33">
        <v>0.35</v>
      </c>
      <c r="G49" s="33">
        <v>0.4</v>
      </c>
      <c r="H49" s="33">
        <f t="shared" si="0"/>
        <v>1.66</v>
      </c>
    </row>
    <row r="50" spans="1:8" s="30" customFormat="1" x14ac:dyDescent="0.2">
      <c r="A50" s="230"/>
      <c r="B50" s="231" t="str">
        <f>"Total item "&amp;A30</f>
        <v>Total item 3.1</v>
      </c>
      <c r="C50" s="232"/>
      <c r="D50" s="233"/>
      <c r="E50" s="233"/>
      <c r="F50" s="233"/>
      <c r="G50" s="233"/>
      <c r="H50" s="19">
        <f>SUM(H32:H49)</f>
        <v>77.28</v>
      </c>
    </row>
    <row r="51" spans="1:8" s="30" customFormat="1" x14ac:dyDescent="0.2">
      <c r="A51" s="31"/>
      <c r="B51" s="223"/>
      <c r="C51" s="32"/>
      <c r="D51" s="224"/>
      <c r="E51" s="224"/>
      <c r="F51" s="224"/>
      <c r="G51" s="224"/>
      <c r="H51" s="234" t="s">
        <v>315</v>
      </c>
    </row>
    <row r="52" spans="1:8" s="30" customFormat="1" ht="22.5" x14ac:dyDescent="0.2">
      <c r="A52" s="225" t="s">
        <v>11</v>
      </c>
      <c r="B52" s="226" t="s">
        <v>230</v>
      </c>
      <c r="C52" s="227" t="s">
        <v>106</v>
      </c>
      <c r="D52" s="19"/>
      <c r="E52" s="19"/>
      <c r="F52" s="19"/>
      <c r="G52" s="19"/>
      <c r="H52" s="19"/>
    </row>
    <row r="53" spans="1:8" s="30" customFormat="1" x14ac:dyDescent="0.2">
      <c r="A53" s="31"/>
      <c r="B53" s="229" t="s">
        <v>326</v>
      </c>
      <c r="C53" s="229"/>
      <c r="D53" s="229"/>
      <c r="E53" s="33"/>
      <c r="F53" s="33"/>
      <c r="G53" s="33"/>
      <c r="H53" s="33"/>
    </row>
    <row r="54" spans="1:8" s="30" customFormat="1" x14ac:dyDescent="0.2">
      <c r="A54" s="31"/>
      <c r="B54" s="229" t="s">
        <v>460</v>
      </c>
      <c r="C54" s="38"/>
      <c r="D54" s="33"/>
      <c r="E54" s="33">
        <v>13.95</v>
      </c>
      <c r="F54" s="33">
        <v>12.09</v>
      </c>
      <c r="G54" s="33">
        <v>0.2</v>
      </c>
      <c r="H54" s="33">
        <f>ROUND(PRODUCT(D54:G54),2)</f>
        <v>33.729999999999997</v>
      </c>
    </row>
    <row r="55" spans="1:8" s="30" customFormat="1" x14ac:dyDescent="0.2">
      <c r="A55" s="31"/>
      <c r="B55" s="229" t="s">
        <v>461</v>
      </c>
      <c r="C55" s="38"/>
      <c r="D55" s="33"/>
      <c r="E55" s="33">
        <v>13.95</v>
      </c>
      <c r="F55" s="33">
        <v>11.6</v>
      </c>
      <c r="G55" s="33">
        <v>0.2</v>
      </c>
      <c r="H55" s="33">
        <f t="shared" ref="H55" si="1">ROUND(PRODUCT(D55:G55),2)</f>
        <v>32.36</v>
      </c>
    </row>
    <row r="56" spans="1:8" s="30" customFormat="1" x14ac:dyDescent="0.2">
      <c r="A56" s="31"/>
      <c r="B56" s="39" t="str">
        <f>"Total item "&amp;A52</f>
        <v>Total item 3.2</v>
      </c>
      <c r="C56" s="38"/>
      <c r="D56" s="33"/>
      <c r="E56" s="33"/>
      <c r="F56" s="33"/>
      <c r="G56" s="33"/>
      <c r="H56" s="19">
        <f>SUM(H54:H55)</f>
        <v>66.09</v>
      </c>
    </row>
    <row r="57" spans="1:8" s="30" customFormat="1" x14ac:dyDescent="0.2">
      <c r="A57" s="31"/>
      <c r="B57" s="223"/>
      <c r="C57" s="32"/>
      <c r="D57" s="224"/>
      <c r="E57" s="224"/>
      <c r="F57" s="224"/>
      <c r="G57" s="224"/>
      <c r="H57" s="224"/>
    </row>
    <row r="58" spans="1:8" s="30" customFormat="1" ht="22.5" x14ac:dyDescent="0.2">
      <c r="A58" s="225" t="s">
        <v>209</v>
      </c>
      <c r="B58" s="226" t="s">
        <v>232</v>
      </c>
      <c r="C58" s="227" t="s">
        <v>106</v>
      </c>
      <c r="D58" s="19"/>
      <c r="E58" s="19"/>
      <c r="F58" s="19"/>
      <c r="G58" s="19"/>
      <c r="H58" s="19"/>
    </row>
    <row r="59" spans="1:8" s="30" customFormat="1" x14ac:dyDescent="0.2">
      <c r="A59" s="31"/>
      <c r="B59" s="235" t="s">
        <v>144</v>
      </c>
      <c r="C59" s="38"/>
      <c r="D59" s="33"/>
      <c r="E59" s="33">
        <f>H50</f>
        <v>77.28</v>
      </c>
      <c r="F59" s="33"/>
      <c r="G59" s="33"/>
      <c r="H59" s="33">
        <f>ROUND(PRODUCT(D59:G59),2)</f>
        <v>77.28</v>
      </c>
    </row>
    <row r="60" spans="1:8" s="30" customFormat="1" x14ac:dyDescent="0.2">
      <c r="A60" s="31"/>
      <c r="B60" s="235" t="s">
        <v>145</v>
      </c>
      <c r="C60" s="38"/>
      <c r="D60" s="33">
        <v>-1</v>
      </c>
      <c r="E60" s="33">
        <f>H86</f>
        <v>5.9500000000000011</v>
      </c>
      <c r="F60" s="33"/>
      <c r="G60" s="33"/>
      <c r="H60" s="33">
        <f>ROUND(PRODUCT(D60:G60),2)</f>
        <v>-5.95</v>
      </c>
    </row>
    <row r="61" spans="1:8" s="30" customFormat="1" x14ac:dyDescent="0.2">
      <c r="A61" s="31"/>
      <c r="B61" s="229" t="s">
        <v>276</v>
      </c>
      <c r="C61" s="38"/>
      <c r="D61" s="33">
        <v>-1</v>
      </c>
      <c r="E61" s="33">
        <f>H261</f>
        <v>24.99</v>
      </c>
      <c r="F61" s="33"/>
      <c r="G61" s="33"/>
      <c r="H61" s="33">
        <f>ROUND(PRODUCT(D61:G61),2)</f>
        <v>-24.99</v>
      </c>
    </row>
    <row r="62" spans="1:8" s="30" customFormat="1" x14ac:dyDescent="0.2">
      <c r="A62" s="31"/>
      <c r="B62" s="39" t="str">
        <f>"Total item "&amp;A58</f>
        <v>Total item 3.3</v>
      </c>
      <c r="C62" s="38"/>
      <c r="D62" s="33"/>
      <c r="E62" s="33"/>
      <c r="F62" s="33"/>
      <c r="G62" s="33"/>
      <c r="H62" s="19">
        <f>SUM(H59:H61)</f>
        <v>46.34</v>
      </c>
    </row>
    <row r="63" spans="1:8" s="30" customFormat="1" x14ac:dyDescent="0.2">
      <c r="A63" s="31"/>
      <c r="B63" s="223"/>
      <c r="C63" s="32"/>
      <c r="D63" s="224"/>
      <c r="E63" s="224"/>
      <c r="F63" s="224"/>
      <c r="G63" s="224"/>
      <c r="H63" s="224"/>
    </row>
    <row r="64" spans="1:8" s="30" customFormat="1" x14ac:dyDescent="0.2">
      <c r="A64" s="213" t="s">
        <v>170</v>
      </c>
      <c r="B64" s="215" t="s">
        <v>47</v>
      </c>
      <c r="C64" s="216"/>
      <c r="D64" s="217"/>
      <c r="E64" s="217"/>
      <c r="F64" s="217"/>
      <c r="G64" s="217"/>
      <c r="H64" s="217"/>
    </row>
    <row r="65" spans="1:8" s="30" customFormat="1" x14ac:dyDescent="0.2">
      <c r="A65" s="31"/>
      <c r="B65" s="223"/>
      <c r="C65" s="32"/>
      <c r="D65" s="224"/>
      <c r="E65" s="224"/>
      <c r="F65" s="224"/>
      <c r="G65" s="224"/>
      <c r="H65" s="224"/>
    </row>
    <row r="66" spans="1:8" s="30" customFormat="1" ht="22.5" x14ac:dyDescent="0.2">
      <c r="A66" s="225" t="s">
        <v>13</v>
      </c>
      <c r="B66" s="226" t="s">
        <v>110</v>
      </c>
      <c r="C66" s="227" t="s">
        <v>106</v>
      </c>
      <c r="D66" s="19"/>
      <c r="E66" s="19"/>
      <c r="F66" s="19"/>
      <c r="G66" s="19"/>
      <c r="H66" s="19"/>
    </row>
    <row r="67" spans="1:8" s="30" customFormat="1" x14ac:dyDescent="0.2">
      <c r="A67" s="31"/>
      <c r="B67" s="39" t="s">
        <v>210</v>
      </c>
      <c r="C67" s="38"/>
      <c r="D67" s="33"/>
      <c r="E67" s="33"/>
      <c r="F67" s="33"/>
      <c r="G67" s="33"/>
      <c r="H67" s="33"/>
    </row>
    <row r="68" spans="1:8" s="30" customFormat="1" x14ac:dyDescent="0.2">
      <c r="A68" s="31"/>
      <c r="B68" s="229" t="s">
        <v>294</v>
      </c>
      <c r="C68" s="38"/>
      <c r="D68" s="33">
        <v>19</v>
      </c>
      <c r="E68" s="33">
        <v>1.2</v>
      </c>
      <c r="F68" s="33">
        <v>1.2</v>
      </c>
      <c r="G68" s="33">
        <v>0.05</v>
      </c>
      <c r="H68" s="33">
        <f>ROUND(PRODUCT(D68:G68),2)</f>
        <v>1.37</v>
      </c>
    </row>
    <row r="69" spans="1:8" s="30" customFormat="1" x14ac:dyDescent="0.2">
      <c r="A69" s="31"/>
      <c r="B69" s="229" t="s">
        <v>295</v>
      </c>
      <c r="C69" s="38"/>
      <c r="D69" s="33">
        <v>10</v>
      </c>
      <c r="E69" s="33">
        <v>1.1000000000000001</v>
      </c>
      <c r="F69" s="33">
        <v>1.1000000000000001</v>
      </c>
      <c r="G69" s="33">
        <v>0.05</v>
      </c>
      <c r="H69" s="33">
        <f>ROUND(PRODUCT(D69:G69),2)</f>
        <v>0.61</v>
      </c>
    </row>
    <row r="70" spans="1:8" s="30" customFormat="1" x14ac:dyDescent="0.2">
      <c r="A70" s="31"/>
      <c r="B70" s="229" t="s">
        <v>296</v>
      </c>
      <c r="C70" s="38"/>
      <c r="D70" s="33">
        <v>4</v>
      </c>
      <c r="E70" s="33">
        <v>0.9</v>
      </c>
      <c r="F70" s="33">
        <v>0.9</v>
      </c>
      <c r="G70" s="33">
        <v>0.05</v>
      </c>
      <c r="H70" s="33">
        <f>ROUND(PRODUCT(D70:G70),2)</f>
        <v>0.16</v>
      </c>
    </row>
    <row r="71" spans="1:8" s="30" customFormat="1" x14ac:dyDescent="0.2">
      <c r="A71" s="31"/>
      <c r="B71" s="39" t="s">
        <v>208</v>
      </c>
      <c r="C71" s="38"/>
      <c r="D71" s="33"/>
      <c r="E71" s="33"/>
      <c r="F71" s="33"/>
      <c r="G71" s="33"/>
      <c r="H71" s="33"/>
    </row>
    <row r="72" spans="1:8" s="30" customFormat="1" x14ac:dyDescent="0.2">
      <c r="A72" s="31"/>
      <c r="B72" s="229" t="s">
        <v>301</v>
      </c>
      <c r="C72" s="38"/>
      <c r="D72" s="33"/>
      <c r="E72" s="33">
        <v>13.85</v>
      </c>
      <c r="F72" s="33">
        <v>0.4</v>
      </c>
      <c r="G72" s="33">
        <v>0.05</v>
      </c>
      <c r="H72" s="33">
        <f>ROUND(PRODUCT(D72:G72),2)</f>
        <v>0.28000000000000003</v>
      </c>
    </row>
    <row r="73" spans="1:8" s="30" customFormat="1" x14ac:dyDescent="0.2">
      <c r="A73" s="31"/>
      <c r="B73" s="229" t="s">
        <v>302</v>
      </c>
      <c r="C73" s="38"/>
      <c r="D73" s="33"/>
      <c r="E73" s="33">
        <v>13.85</v>
      </c>
      <c r="F73" s="33">
        <v>0.4</v>
      </c>
      <c r="G73" s="33">
        <v>0.05</v>
      </c>
      <c r="H73" s="33">
        <f t="shared" ref="H73:H85" si="2">ROUND(PRODUCT(D73:G73),2)</f>
        <v>0.28000000000000003</v>
      </c>
    </row>
    <row r="74" spans="1:8" s="30" customFormat="1" x14ac:dyDescent="0.2">
      <c r="A74" s="31"/>
      <c r="B74" s="229" t="s">
        <v>303</v>
      </c>
      <c r="C74" s="38"/>
      <c r="D74" s="33"/>
      <c r="E74" s="33">
        <v>13.85</v>
      </c>
      <c r="F74" s="33">
        <v>0.4</v>
      </c>
      <c r="G74" s="33">
        <v>0.05</v>
      </c>
      <c r="H74" s="33">
        <f t="shared" si="2"/>
        <v>0.28000000000000003</v>
      </c>
    </row>
    <row r="75" spans="1:8" s="30" customFormat="1" x14ac:dyDescent="0.2">
      <c r="A75" s="31"/>
      <c r="B75" s="229" t="s">
        <v>304</v>
      </c>
      <c r="C75" s="38"/>
      <c r="D75" s="33"/>
      <c r="E75" s="33">
        <f>6.85+6.8+6.85</f>
        <v>20.5</v>
      </c>
      <c r="F75" s="33">
        <v>0.4</v>
      </c>
      <c r="G75" s="33">
        <v>0.05</v>
      </c>
      <c r="H75" s="33">
        <f t="shared" si="2"/>
        <v>0.41</v>
      </c>
    </row>
    <row r="76" spans="1:8" s="30" customFormat="1" x14ac:dyDescent="0.2">
      <c r="A76" s="31"/>
      <c r="B76" s="229" t="s">
        <v>305</v>
      </c>
      <c r="C76" s="38"/>
      <c r="D76" s="33"/>
      <c r="E76" s="33">
        <f>6.85+6.8+6.85</f>
        <v>20.5</v>
      </c>
      <c r="F76" s="33">
        <v>0.4</v>
      </c>
      <c r="G76" s="33">
        <v>0.05</v>
      </c>
      <c r="H76" s="33">
        <f t="shared" si="2"/>
        <v>0.41</v>
      </c>
    </row>
    <row r="77" spans="1:8" s="30" customFormat="1" x14ac:dyDescent="0.2">
      <c r="A77" s="31"/>
      <c r="B77" s="229" t="s">
        <v>306</v>
      </c>
      <c r="C77" s="38"/>
      <c r="D77" s="33"/>
      <c r="E77" s="33">
        <v>13.7</v>
      </c>
      <c r="F77" s="33">
        <v>0.4</v>
      </c>
      <c r="G77" s="33">
        <v>0.05</v>
      </c>
      <c r="H77" s="33">
        <f t="shared" si="2"/>
        <v>0.27</v>
      </c>
    </row>
    <row r="78" spans="1:8" s="30" customFormat="1" x14ac:dyDescent="0.2">
      <c r="A78" s="31"/>
      <c r="B78" s="229" t="s">
        <v>307</v>
      </c>
      <c r="C78" s="38"/>
      <c r="D78" s="33"/>
      <c r="E78" s="33">
        <v>13.7</v>
      </c>
      <c r="F78" s="33">
        <v>0.4</v>
      </c>
      <c r="G78" s="33">
        <v>0.05</v>
      </c>
      <c r="H78" s="33">
        <f t="shared" si="2"/>
        <v>0.27</v>
      </c>
    </row>
    <row r="79" spans="1:8" s="30" customFormat="1" x14ac:dyDescent="0.2">
      <c r="A79" s="31"/>
      <c r="B79" s="229" t="s">
        <v>308</v>
      </c>
      <c r="C79" s="38"/>
      <c r="D79" s="33"/>
      <c r="E79" s="33">
        <v>14.24</v>
      </c>
      <c r="F79" s="33">
        <v>0.4</v>
      </c>
      <c r="G79" s="33">
        <v>0.05</v>
      </c>
      <c r="H79" s="33">
        <f t="shared" si="2"/>
        <v>0.28000000000000003</v>
      </c>
    </row>
    <row r="80" spans="1:8" s="30" customFormat="1" x14ac:dyDescent="0.2">
      <c r="A80" s="31"/>
      <c r="B80" s="229" t="s">
        <v>309</v>
      </c>
      <c r="C80" s="38"/>
      <c r="D80" s="33"/>
      <c r="E80" s="33">
        <v>1.9</v>
      </c>
      <c r="F80" s="33">
        <v>0.35</v>
      </c>
      <c r="G80" s="33">
        <v>0.05</v>
      </c>
      <c r="H80" s="33">
        <f t="shared" si="2"/>
        <v>0.03</v>
      </c>
    </row>
    <row r="81" spans="1:8" s="30" customFormat="1" x14ac:dyDescent="0.2">
      <c r="A81" s="31"/>
      <c r="B81" s="229" t="s">
        <v>310</v>
      </c>
      <c r="C81" s="38"/>
      <c r="D81" s="33"/>
      <c r="E81" s="33">
        <v>24.85</v>
      </c>
      <c r="F81" s="33">
        <v>0.4</v>
      </c>
      <c r="G81" s="33">
        <v>0.05</v>
      </c>
      <c r="H81" s="33">
        <f t="shared" si="2"/>
        <v>0.5</v>
      </c>
    </row>
    <row r="82" spans="1:8" s="30" customFormat="1" x14ac:dyDescent="0.2">
      <c r="A82" s="31"/>
      <c r="B82" s="229" t="s">
        <v>311</v>
      </c>
      <c r="C82" s="38"/>
      <c r="D82" s="33"/>
      <c r="E82" s="33">
        <v>1.9</v>
      </c>
      <c r="F82" s="33">
        <v>0.35</v>
      </c>
      <c r="G82" s="33">
        <v>0.05</v>
      </c>
      <c r="H82" s="33">
        <f t="shared" si="2"/>
        <v>0.03</v>
      </c>
    </row>
    <row r="83" spans="1:8" s="30" customFormat="1" x14ac:dyDescent="0.2">
      <c r="A83" s="31"/>
      <c r="B83" s="229" t="s">
        <v>312</v>
      </c>
      <c r="C83" s="38"/>
      <c r="D83" s="33"/>
      <c r="E83" s="33">
        <v>24.85</v>
      </c>
      <c r="F83" s="33">
        <v>0.4</v>
      </c>
      <c r="G83" s="33">
        <v>0.05</v>
      </c>
      <c r="H83" s="33">
        <f t="shared" si="2"/>
        <v>0.5</v>
      </c>
    </row>
    <row r="84" spans="1:8" s="30" customFormat="1" x14ac:dyDescent="0.2">
      <c r="A84" s="31"/>
      <c r="B84" s="229" t="s">
        <v>313</v>
      </c>
      <c r="C84" s="38"/>
      <c r="D84" s="33"/>
      <c r="E84" s="33">
        <v>1.9</v>
      </c>
      <c r="F84" s="33">
        <v>0.35</v>
      </c>
      <c r="G84" s="33">
        <v>0.05</v>
      </c>
      <c r="H84" s="33">
        <f t="shared" si="2"/>
        <v>0.03</v>
      </c>
    </row>
    <row r="85" spans="1:8" s="30" customFormat="1" x14ac:dyDescent="0.2">
      <c r="A85" s="31"/>
      <c r="B85" s="229" t="s">
        <v>314</v>
      </c>
      <c r="C85" s="38"/>
      <c r="D85" s="33"/>
      <c r="E85" s="33">
        <v>11.85</v>
      </c>
      <c r="F85" s="33">
        <v>0.4</v>
      </c>
      <c r="G85" s="33">
        <v>0.05</v>
      </c>
      <c r="H85" s="33">
        <f t="shared" si="2"/>
        <v>0.24</v>
      </c>
    </row>
    <row r="86" spans="1:8" s="30" customFormat="1" x14ac:dyDescent="0.2">
      <c r="A86" s="31"/>
      <c r="B86" s="39" t="str">
        <f>"Total item "&amp;A66</f>
        <v>Total item 4.1</v>
      </c>
      <c r="C86" s="38"/>
      <c r="D86" s="33"/>
      <c r="E86" s="33"/>
      <c r="F86" s="33"/>
      <c r="G86" s="33"/>
      <c r="H86" s="19">
        <f>SUM(H67:H85)</f>
        <v>5.9500000000000011</v>
      </c>
    </row>
    <row r="87" spans="1:8" s="30" customFormat="1" x14ac:dyDescent="0.2">
      <c r="A87" s="238"/>
      <c r="B87" s="239"/>
      <c r="C87" s="240"/>
      <c r="D87" s="236"/>
      <c r="E87" s="236"/>
      <c r="F87" s="236"/>
      <c r="G87" s="236"/>
      <c r="H87" s="236"/>
    </row>
    <row r="88" spans="1:8" s="30" customFormat="1" x14ac:dyDescent="0.2">
      <c r="A88" s="238"/>
      <c r="B88" s="239"/>
      <c r="C88" s="240"/>
      <c r="D88" s="236"/>
      <c r="E88" s="236"/>
      <c r="F88" s="236"/>
      <c r="G88" s="236"/>
      <c r="H88" s="236"/>
    </row>
    <row r="89" spans="1:8" s="30" customFormat="1" ht="33.75" x14ac:dyDescent="0.2">
      <c r="A89" s="225" t="s">
        <v>14</v>
      </c>
      <c r="B89" s="226" t="s">
        <v>393</v>
      </c>
      <c r="C89" s="227" t="s">
        <v>101</v>
      </c>
      <c r="D89" s="241" t="s">
        <v>269</v>
      </c>
      <c r="E89" s="241" t="s">
        <v>270</v>
      </c>
      <c r="F89" s="241" t="s">
        <v>271</v>
      </c>
      <c r="G89" s="19"/>
      <c r="H89" s="19"/>
    </row>
    <row r="90" spans="1:8" s="30" customFormat="1" x14ac:dyDescent="0.2">
      <c r="A90" s="31"/>
      <c r="B90" s="39" t="s">
        <v>265</v>
      </c>
      <c r="C90" s="32"/>
      <c r="D90" s="224"/>
      <c r="E90" s="224"/>
      <c r="F90" s="224"/>
      <c r="G90" s="224"/>
      <c r="H90" s="224"/>
    </row>
    <row r="91" spans="1:8" s="30" customFormat="1" x14ac:dyDescent="0.2">
      <c r="A91" s="31"/>
      <c r="B91" s="229" t="s">
        <v>551</v>
      </c>
      <c r="C91" s="38"/>
      <c r="D91" s="33">
        <v>10</v>
      </c>
      <c r="E91" s="33">
        <v>4</v>
      </c>
      <c r="F91" s="33">
        <v>0.9</v>
      </c>
      <c r="G91" s="33">
        <v>0.2</v>
      </c>
      <c r="H91" s="33">
        <f>ROUND(PRODUCT(D91:G91),2)</f>
        <v>7.2</v>
      </c>
    </row>
    <row r="92" spans="1:8" s="30" customFormat="1" x14ac:dyDescent="0.2">
      <c r="A92" s="31"/>
      <c r="B92" s="229" t="s">
        <v>552</v>
      </c>
      <c r="C92" s="38"/>
      <c r="D92" s="33">
        <v>4</v>
      </c>
      <c r="E92" s="33">
        <v>4</v>
      </c>
      <c r="F92" s="33">
        <v>0.7</v>
      </c>
      <c r="G92" s="33">
        <v>0.2</v>
      </c>
      <c r="H92" s="33">
        <f>ROUND(PRODUCT(D92:G92),2)</f>
        <v>2.2400000000000002</v>
      </c>
    </row>
    <row r="93" spans="1:8" s="30" customFormat="1" ht="22.5" x14ac:dyDescent="0.2">
      <c r="A93" s="31"/>
      <c r="B93" s="229" t="s">
        <v>553</v>
      </c>
      <c r="C93" s="38"/>
      <c r="D93" s="33">
        <v>19</v>
      </c>
      <c r="E93" s="33">
        <v>4</v>
      </c>
      <c r="F93" s="33">
        <v>1</v>
      </c>
      <c r="G93" s="33">
        <v>0.2</v>
      </c>
      <c r="H93" s="33">
        <f>ROUND(PRODUCT(D93:G93),2)</f>
        <v>15.2</v>
      </c>
    </row>
    <row r="94" spans="1:8" s="30" customFormat="1" x14ac:dyDescent="0.2">
      <c r="A94" s="31"/>
      <c r="B94" s="231" t="str">
        <f>"Total item "&amp;A89</f>
        <v>Total item 4.2</v>
      </c>
      <c r="C94" s="232"/>
      <c r="D94" s="233"/>
      <c r="E94" s="233"/>
      <c r="F94" s="233"/>
      <c r="G94" s="233"/>
      <c r="H94" s="19">
        <f>SUM(H91:H93)</f>
        <v>24.64</v>
      </c>
    </row>
    <row r="95" spans="1:8" s="30" customFormat="1" x14ac:dyDescent="0.2">
      <c r="A95" s="31"/>
      <c r="B95" s="223"/>
      <c r="C95" s="32"/>
      <c r="D95" s="224"/>
      <c r="E95" s="224"/>
      <c r="F95" s="224"/>
      <c r="G95" s="224"/>
      <c r="H95" s="224"/>
    </row>
    <row r="96" spans="1:8" s="30" customFormat="1" ht="33.75" x14ac:dyDescent="0.2">
      <c r="A96" s="225" t="s">
        <v>444</v>
      </c>
      <c r="B96" s="226" t="s">
        <v>279</v>
      </c>
      <c r="C96" s="227" t="s">
        <v>101</v>
      </c>
      <c r="D96" s="241"/>
      <c r="E96" s="241"/>
      <c r="F96" s="241"/>
      <c r="G96" s="19"/>
      <c r="H96" s="19"/>
    </row>
    <row r="97" spans="1:8" s="30" customFormat="1" x14ac:dyDescent="0.2">
      <c r="A97" s="238"/>
      <c r="B97" s="39" t="s">
        <v>316</v>
      </c>
      <c r="C97" s="38"/>
      <c r="D97" s="33"/>
      <c r="E97" s="33" t="s">
        <v>5</v>
      </c>
      <c r="F97" s="33" t="s">
        <v>317</v>
      </c>
      <c r="G97" s="237"/>
      <c r="H97" s="237"/>
    </row>
    <row r="98" spans="1:8" s="30" customFormat="1" x14ac:dyDescent="0.2">
      <c r="A98" s="238"/>
      <c r="B98" s="229" t="s">
        <v>301</v>
      </c>
      <c r="C98" s="38"/>
      <c r="D98" s="33"/>
      <c r="E98" s="33">
        <v>13.85</v>
      </c>
      <c r="F98" s="33">
        <v>0.8</v>
      </c>
      <c r="G98" s="237"/>
      <c r="H98" s="33">
        <f t="shared" ref="H98:H111" si="3">ROUND(PRODUCT(D98:G98),2)</f>
        <v>11.08</v>
      </c>
    </row>
    <row r="99" spans="1:8" s="30" customFormat="1" x14ac:dyDescent="0.2">
      <c r="A99" s="238"/>
      <c r="B99" s="229" t="s">
        <v>302</v>
      </c>
      <c r="C99" s="38"/>
      <c r="D99" s="33"/>
      <c r="E99" s="33">
        <v>13.85</v>
      </c>
      <c r="F99" s="33">
        <v>0.8</v>
      </c>
      <c r="G99" s="237"/>
      <c r="H99" s="33">
        <f t="shared" si="3"/>
        <v>11.08</v>
      </c>
    </row>
    <row r="100" spans="1:8" s="30" customFormat="1" x14ac:dyDescent="0.2">
      <c r="A100" s="238"/>
      <c r="B100" s="229" t="s">
        <v>303</v>
      </c>
      <c r="C100" s="38"/>
      <c r="D100" s="33"/>
      <c r="E100" s="33">
        <v>13.85</v>
      </c>
      <c r="F100" s="33">
        <v>0.8</v>
      </c>
      <c r="G100" s="237"/>
      <c r="H100" s="33">
        <f t="shared" si="3"/>
        <v>11.08</v>
      </c>
    </row>
    <row r="101" spans="1:8" s="30" customFormat="1" x14ac:dyDescent="0.2">
      <c r="A101" s="238"/>
      <c r="B101" s="229" t="s">
        <v>304</v>
      </c>
      <c r="C101" s="38"/>
      <c r="D101" s="33"/>
      <c r="E101" s="33">
        <f>6.85+6.8+6.85</f>
        <v>20.5</v>
      </c>
      <c r="F101" s="33">
        <v>0.8</v>
      </c>
      <c r="G101" s="237"/>
      <c r="H101" s="33">
        <f t="shared" si="3"/>
        <v>16.399999999999999</v>
      </c>
    </row>
    <row r="102" spans="1:8" s="30" customFormat="1" x14ac:dyDescent="0.2">
      <c r="A102" s="238"/>
      <c r="B102" s="229" t="s">
        <v>305</v>
      </c>
      <c r="C102" s="38"/>
      <c r="D102" s="33"/>
      <c r="E102" s="33">
        <f>6.85+6.8+6.85</f>
        <v>20.5</v>
      </c>
      <c r="F102" s="33">
        <v>0.8</v>
      </c>
      <c r="G102" s="237"/>
      <c r="H102" s="33">
        <f t="shared" si="3"/>
        <v>16.399999999999999</v>
      </c>
    </row>
    <row r="103" spans="1:8" s="30" customFormat="1" x14ac:dyDescent="0.2">
      <c r="A103" s="238"/>
      <c r="B103" s="229" t="s">
        <v>306</v>
      </c>
      <c r="C103" s="38"/>
      <c r="D103" s="33"/>
      <c r="E103" s="33">
        <v>13.7</v>
      </c>
      <c r="F103" s="33">
        <v>0.8</v>
      </c>
      <c r="G103" s="237"/>
      <c r="H103" s="33">
        <f t="shared" si="3"/>
        <v>10.96</v>
      </c>
    </row>
    <row r="104" spans="1:8" s="30" customFormat="1" x14ac:dyDescent="0.2">
      <c r="A104" s="238"/>
      <c r="B104" s="229" t="s">
        <v>307</v>
      </c>
      <c r="C104" s="38"/>
      <c r="D104" s="33"/>
      <c r="E104" s="33">
        <v>13.7</v>
      </c>
      <c r="F104" s="33">
        <v>0.8</v>
      </c>
      <c r="G104" s="237"/>
      <c r="H104" s="33">
        <f t="shared" si="3"/>
        <v>10.96</v>
      </c>
    </row>
    <row r="105" spans="1:8" s="30" customFormat="1" x14ac:dyDescent="0.2">
      <c r="A105" s="238"/>
      <c r="B105" s="229" t="s">
        <v>308</v>
      </c>
      <c r="C105" s="38"/>
      <c r="D105" s="33"/>
      <c r="E105" s="33">
        <v>14.24</v>
      </c>
      <c r="F105" s="33">
        <v>0.8</v>
      </c>
      <c r="G105" s="237"/>
      <c r="H105" s="33">
        <f t="shared" si="3"/>
        <v>11.39</v>
      </c>
    </row>
    <row r="106" spans="1:8" s="30" customFormat="1" x14ac:dyDescent="0.2">
      <c r="A106" s="238"/>
      <c r="B106" s="229" t="s">
        <v>309</v>
      </c>
      <c r="C106" s="38"/>
      <c r="D106" s="33"/>
      <c r="E106" s="33">
        <v>1.9</v>
      </c>
      <c r="F106" s="33">
        <v>0.7</v>
      </c>
      <c r="G106" s="237"/>
      <c r="H106" s="33">
        <f t="shared" si="3"/>
        <v>1.33</v>
      </c>
    </row>
    <row r="107" spans="1:8" s="30" customFormat="1" x14ac:dyDescent="0.2">
      <c r="A107" s="238"/>
      <c r="B107" s="229" t="s">
        <v>310</v>
      </c>
      <c r="C107" s="38"/>
      <c r="D107" s="33"/>
      <c r="E107" s="33">
        <v>24.85</v>
      </c>
      <c r="F107" s="33">
        <v>0.8</v>
      </c>
      <c r="G107" s="237"/>
      <c r="H107" s="33">
        <f t="shared" si="3"/>
        <v>19.88</v>
      </c>
    </row>
    <row r="108" spans="1:8" s="30" customFormat="1" x14ac:dyDescent="0.2">
      <c r="A108" s="238"/>
      <c r="B108" s="229" t="s">
        <v>311</v>
      </c>
      <c r="C108" s="38"/>
      <c r="D108" s="33"/>
      <c r="E108" s="33">
        <v>1.9</v>
      </c>
      <c r="F108" s="33">
        <v>0.7</v>
      </c>
      <c r="G108" s="237"/>
      <c r="H108" s="33">
        <f t="shared" si="3"/>
        <v>1.33</v>
      </c>
    </row>
    <row r="109" spans="1:8" s="30" customFormat="1" x14ac:dyDescent="0.2">
      <c r="A109" s="238"/>
      <c r="B109" s="229" t="s">
        <v>312</v>
      </c>
      <c r="C109" s="38"/>
      <c r="D109" s="33"/>
      <c r="E109" s="33">
        <v>24.85</v>
      </c>
      <c r="F109" s="33">
        <v>0.8</v>
      </c>
      <c r="G109" s="237"/>
      <c r="H109" s="33">
        <f t="shared" si="3"/>
        <v>19.88</v>
      </c>
    </row>
    <row r="110" spans="1:8" s="30" customFormat="1" x14ac:dyDescent="0.2">
      <c r="A110" s="238"/>
      <c r="B110" s="229" t="s">
        <v>313</v>
      </c>
      <c r="C110" s="38"/>
      <c r="D110" s="33"/>
      <c r="E110" s="33">
        <v>1.9</v>
      </c>
      <c r="F110" s="33">
        <v>0.7</v>
      </c>
      <c r="G110" s="237"/>
      <c r="H110" s="33">
        <f t="shared" si="3"/>
        <v>1.33</v>
      </c>
    </row>
    <row r="111" spans="1:8" s="30" customFormat="1" x14ac:dyDescent="0.2">
      <c r="A111" s="238"/>
      <c r="B111" s="229" t="s">
        <v>314</v>
      </c>
      <c r="C111" s="38"/>
      <c r="D111" s="33"/>
      <c r="E111" s="33">
        <v>11.85</v>
      </c>
      <c r="F111" s="33">
        <v>0.8</v>
      </c>
      <c r="G111" s="237"/>
      <c r="H111" s="33">
        <f t="shared" si="3"/>
        <v>9.48</v>
      </c>
    </row>
    <row r="112" spans="1:8" s="30" customFormat="1" x14ac:dyDescent="0.2">
      <c r="A112" s="31"/>
      <c r="B112" s="39" t="str">
        <f>"Total item "&amp;A96</f>
        <v>Total item 4.3</v>
      </c>
      <c r="C112" s="38"/>
      <c r="D112" s="33"/>
      <c r="E112" s="33"/>
      <c r="F112" s="33"/>
      <c r="G112" s="33"/>
      <c r="H112" s="19">
        <f>SUM(H97:H111)</f>
        <v>152.58000000000001</v>
      </c>
    </row>
    <row r="113" spans="1:8" s="30" customFormat="1" x14ac:dyDescent="0.2">
      <c r="A113" s="238"/>
      <c r="B113" s="239"/>
      <c r="C113" s="240"/>
      <c r="D113" s="236"/>
      <c r="E113" s="236"/>
      <c r="F113" s="236"/>
      <c r="G113" s="236"/>
      <c r="H113" s="236"/>
    </row>
    <row r="114" spans="1:8" s="30" customFormat="1" ht="33.75" x14ac:dyDescent="0.2">
      <c r="A114" s="225" t="s">
        <v>445</v>
      </c>
      <c r="B114" s="226" t="s">
        <v>267</v>
      </c>
      <c r="C114" s="227" t="s">
        <v>268</v>
      </c>
      <c r="D114" s="19"/>
      <c r="E114" s="19"/>
      <c r="F114" s="19"/>
      <c r="G114" s="19" t="s">
        <v>462</v>
      </c>
      <c r="H114" s="19"/>
    </row>
    <row r="115" spans="1:8" s="30" customFormat="1" ht="22.5" x14ac:dyDescent="0.2">
      <c r="A115" s="31"/>
      <c r="B115" s="39" t="s">
        <v>266</v>
      </c>
      <c r="C115" s="38"/>
      <c r="D115" s="242"/>
      <c r="E115" s="242"/>
      <c r="F115" s="33"/>
      <c r="G115" s="33"/>
      <c r="H115" s="33"/>
    </row>
    <row r="116" spans="1:8" s="30" customFormat="1" x14ac:dyDescent="0.2">
      <c r="A116" s="31"/>
      <c r="B116" s="39" t="s">
        <v>463</v>
      </c>
      <c r="C116" s="38"/>
      <c r="D116" s="242">
        <v>7</v>
      </c>
      <c r="E116" s="242">
        <v>1.02</v>
      </c>
      <c r="F116" s="33"/>
      <c r="G116" s="260">
        <v>0.61699999999999999</v>
      </c>
      <c r="H116" s="33">
        <f t="shared" ref="H116:H179" si="4">ROUND(PRODUCT(D116:G116),2)</f>
        <v>4.41</v>
      </c>
    </row>
    <row r="117" spans="1:8" s="30" customFormat="1" x14ac:dyDescent="0.2">
      <c r="A117" s="31"/>
      <c r="B117" s="39"/>
      <c r="C117" s="38"/>
      <c r="D117" s="242">
        <v>7</v>
      </c>
      <c r="E117" s="242">
        <v>1.02</v>
      </c>
      <c r="F117" s="33"/>
      <c r="G117" s="260">
        <v>0.61699999999999999</v>
      </c>
      <c r="H117" s="33">
        <f t="shared" si="4"/>
        <v>4.41</v>
      </c>
    </row>
    <row r="118" spans="1:8" s="30" customFormat="1" x14ac:dyDescent="0.2">
      <c r="A118" s="31"/>
      <c r="B118" s="39" t="s">
        <v>464</v>
      </c>
      <c r="C118" s="38"/>
      <c r="D118" s="242">
        <v>7</v>
      </c>
      <c r="E118" s="242">
        <v>1.02</v>
      </c>
      <c r="F118" s="33"/>
      <c r="G118" s="260">
        <v>0.61699999999999999</v>
      </c>
      <c r="H118" s="33">
        <f t="shared" si="4"/>
        <v>4.41</v>
      </c>
    </row>
    <row r="119" spans="1:8" s="30" customFormat="1" x14ac:dyDescent="0.2">
      <c r="A119" s="31"/>
      <c r="B119" s="39"/>
      <c r="C119" s="38"/>
      <c r="D119" s="242">
        <v>7</v>
      </c>
      <c r="E119" s="242">
        <v>1.02</v>
      </c>
      <c r="F119" s="33"/>
      <c r="G119" s="260">
        <v>0.61699999999999999</v>
      </c>
      <c r="H119" s="33">
        <f t="shared" si="4"/>
        <v>4.41</v>
      </c>
    </row>
    <row r="120" spans="1:8" s="30" customFormat="1" x14ac:dyDescent="0.2">
      <c r="A120" s="31"/>
      <c r="B120" s="39" t="s">
        <v>465</v>
      </c>
      <c r="C120" s="38"/>
      <c r="D120" s="242">
        <v>7</v>
      </c>
      <c r="E120" s="242">
        <v>1.02</v>
      </c>
      <c r="F120" s="33"/>
      <c r="G120" s="260">
        <v>0.61699999999999999</v>
      </c>
      <c r="H120" s="33">
        <f t="shared" si="4"/>
        <v>4.41</v>
      </c>
    </row>
    <row r="121" spans="1:8" s="30" customFormat="1" x14ac:dyDescent="0.2">
      <c r="A121" s="31"/>
      <c r="B121" s="39"/>
      <c r="C121" s="38"/>
      <c r="D121" s="242">
        <v>7</v>
      </c>
      <c r="E121" s="242">
        <v>1.02</v>
      </c>
      <c r="F121" s="33"/>
      <c r="G121" s="260">
        <v>0.61699999999999999</v>
      </c>
      <c r="H121" s="33">
        <f t="shared" si="4"/>
        <v>4.41</v>
      </c>
    </row>
    <row r="122" spans="1:8" s="30" customFormat="1" x14ac:dyDescent="0.2">
      <c r="A122" s="31"/>
      <c r="B122" s="39" t="s">
        <v>466</v>
      </c>
      <c r="C122" s="38"/>
      <c r="D122" s="242">
        <v>7</v>
      </c>
      <c r="E122" s="242">
        <v>1.02</v>
      </c>
      <c r="F122" s="33"/>
      <c r="G122" s="260">
        <v>0.61699999999999999</v>
      </c>
      <c r="H122" s="33">
        <f t="shared" si="4"/>
        <v>4.41</v>
      </c>
    </row>
    <row r="123" spans="1:8" s="30" customFormat="1" x14ac:dyDescent="0.2">
      <c r="A123" s="31"/>
      <c r="B123" s="39"/>
      <c r="C123" s="38"/>
      <c r="D123" s="242">
        <v>7</v>
      </c>
      <c r="E123" s="242">
        <v>1.02</v>
      </c>
      <c r="F123" s="33"/>
      <c r="G123" s="260">
        <v>0.61699999999999999</v>
      </c>
      <c r="H123" s="33">
        <f t="shared" si="4"/>
        <v>4.41</v>
      </c>
    </row>
    <row r="124" spans="1:8" s="30" customFormat="1" x14ac:dyDescent="0.2">
      <c r="A124" s="31"/>
      <c r="B124" s="39" t="s">
        <v>467</v>
      </c>
      <c r="C124" s="38"/>
      <c r="D124" s="242">
        <v>7</v>
      </c>
      <c r="E124" s="242">
        <v>1.02</v>
      </c>
      <c r="F124" s="33"/>
      <c r="G124" s="260">
        <v>0.61699999999999999</v>
      </c>
      <c r="H124" s="33">
        <f t="shared" si="4"/>
        <v>4.41</v>
      </c>
    </row>
    <row r="125" spans="1:8" s="30" customFormat="1" x14ac:dyDescent="0.2">
      <c r="A125" s="31"/>
      <c r="B125" s="39"/>
      <c r="C125" s="38"/>
      <c r="D125" s="242">
        <v>7</v>
      </c>
      <c r="E125" s="242">
        <v>1.02</v>
      </c>
      <c r="F125" s="33"/>
      <c r="G125" s="260">
        <v>0.61699999999999999</v>
      </c>
      <c r="H125" s="33">
        <f t="shared" si="4"/>
        <v>4.41</v>
      </c>
    </row>
    <row r="126" spans="1:8" s="30" customFormat="1" x14ac:dyDescent="0.2">
      <c r="A126" s="31"/>
      <c r="B126" s="39" t="s">
        <v>468</v>
      </c>
      <c r="C126" s="38"/>
      <c r="D126" s="242">
        <v>8</v>
      </c>
      <c r="E126" s="242">
        <v>1.22</v>
      </c>
      <c r="F126" s="33"/>
      <c r="G126" s="260">
        <v>0.61699999999999999</v>
      </c>
      <c r="H126" s="33">
        <f t="shared" si="4"/>
        <v>6.02</v>
      </c>
    </row>
    <row r="127" spans="1:8" s="30" customFormat="1" x14ac:dyDescent="0.2">
      <c r="A127" s="31"/>
      <c r="B127" s="39"/>
      <c r="C127" s="38"/>
      <c r="D127" s="242">
        <v>8</v>
      </c>
      <c r="E127" s="242">
        <v>1.22</v>
      </c>
      <c r="F127" s="33"/>
      <c r="G127" s="260">
        <v>0.61699999999999999</v>
      </c>
      <c r="H127" s="33">
        <f t="shared" si="4"/>
        <v>6.02</v>
      </c>
    </row>
    <row r="128" spans="1:8" s="30" customFormat="1" x14ac:dyDescent="0.2">
      <c r="A128" s="31"/>
      <c r="B128" s="39" t="s">
        <v>469</v>
      </c>
      <c r="C128" s="38"/>
      <c r="D128" s="242">
        <v>7</v>
      </c>
      <c r="E128" s="242">
        <v>1.02</v>
      </c>
      <c r="F128" s="33"/>
      <c r="G128" s="260">
        <v>0.61699999999999999</v>
      </c>
      <c r="H128" s="33">
        <f t="shared" si="4"/>
        <v>4.41</v>
      </c>
    </row>
    <row r="129" spans="1:8" s="30" customFormat="1" x14ac:dyDescent="0.2">
      <c r="A129" s="31"/>
      <c r="B129" s="39"/>
      <c r="C129" s="38"/>
      <c r="D129" s="242">
        <v>7</v>
      </c>
      <c r="E129" s="242">
        <v>1.02</v>
      </c>
      <c r="F129" s="33"/>
      <c r="G129" s="260">
        <v>0.61699999999999999</v>
      </c>
      <c r="H129" s="33">
        <f t="shared" si="4"/>
        <v>4.41</v>
      </c>
    </row>
    <row r="130" spans="1:8" s="30" customFormat="1" x14ac:dyDescent="0.2">
      <c r="A130" s="31"/>
      <c r="B130" s="39" t="s">
        <v>470</v>
      </c>
      <c r="C130" s="38"/>
      <c r="D130" s="242">
        <v>8</v>
      </c>
      <c r="E130" s="242">
        <v>1.22</v>
      </c>
      <c r="F130" s="33"/>
      <c r="G130" s="260">
        <v>0.61699999999999999</v>
      </c>
      <c r="H130" s="33">
        <f t="shared" si="4"/>
        <v>6.02</v>
      </c>
    </row>
    <row r="131" spans="1:8" s="30" customFormat="1" x14ac:dyDescent="0.2">
      <c r="A131" s="31"/>
      <c r="B131" s="39"/>
      <c r="C131" s="38"/>
      <c r="D131" s="242">
        <v>8</v>
      </c>
      <c r="E131" s="242">
        <v>1.22</v>
      </c>
      <c r="F131" s="33"/>
      <c r="G131" s="260">
        <v>0.61699999999999999</v>
      </c>
      <c r="H131" s="33">
        <f t="shared" si="4"/>
        <v>6.02</v>
      </c>
    </row>
    <row r="132" spans="1:8" s="30" customFormat="1" x14ac:dyDescent="0.2">
      <c r="A132" s="31"/>
      <c r="B132" s="39" t="s">
        <v>471</v>
      </c>
      <c r="C132" s="38"/>
      <c r="D132" s="242">
        <v>7</v>
      </c>
      <c r="E132" s="242">
        <v>1.02</v>
      </c>
      <c r="F132" s="33"/>
      <c r="G132" s="260">
        <v>0.61699999999999999</v>
      </c>
      <c r="H132" s="33">
        <f t="shared" si="4"/>
        <v>4.41</v>
      </c>
    </row>
    <row r="133" spans="1:8" s="30" customFormat="1" x14ac:dyDescent="0.2">
      <c r="A133" s="31"/>
      <c r="B133" s="39"/>
      <c r="C133" s="38"/>
      <c r="D133" s="242">
        <v>7</v>
      </c>
      <c r="E133" s="242">
        <v>1.02</v>
      </c>
      <c r="F133" s="33"/>
      <c r="G133" s="260">
        <v>0.61699999999999999</v>
      </c>
      <c r="H133" s="33">
        <f t="shared" si="4"/>
        <v>4.41</v>
      </c>
    </row>
    <row r="134" spans="1:8" s="30" customFormat="1" x14ac:dyDescent="0.2">
      <c r="A134" s="31"/>
      <c r="B134" s="39" t="s">
        <v>472</v>
      </c>
      <c r="C134" s="38"/>
      <c r="D134" s="242">
        <v>8</v>
      </c>
      <c r="E134" s="242">
        <v>1.22</v>
      </c>
      <c r="F134" s="33"/>
      <c r="G134" s="260">
        <v>0.61699999999999999</v>
      </c>
      <c r="H134" s="33">
        <f t="shared" si="4"/>
        <v>6.02</v>
      </c>
    </row>
    <row r="135" spans="1:8" s="30" customFormat="1" x14ac:dyDescent="0.2">
      <c r="A135" s="31"/>
      <c r="B135" s="39"/>
      <c r="C135" s="38"/>
      <c r="D135" s="242">
        <v>8</v>
      </c>
      <c r="E135" s="242">
        <v>1.22</v>
      </c>
      <c r="F135" s="33"/>
      <c r="G135" s="260">
        <v>0.61699999999999999</v>
      </c>
      <c r="H135" s="33">
        <f t="shared" si="4"/>
        <v>6.02</v>
      </c>
    </row>
    <row r="136" spans="1:8" s="30" customFormat="1" x14ac:dyDescent="0.2">
      <c r="A136" s="31"/>
      <c r="B136" s="39" t="s">
        <v>473</v>
      </c>
      <c r="C136" s="38"/>
      <c r="D136" s="242">
        <v>8</v>
      </c>
      <c r="E136" s="242">
        <v>1.22</v>
      </c>
      <c r="F136" s="33"/>
      <c r="G136" s="260">
        <v>0.61699999999999999</v>
      </c>
      <c r="H136" s="33">
        <f t="shared" si="4"/>
        <v>6.02</v>
      </c>
    </row>
    <row r="137" spans="1:8" s="30" customFormat="1" x14ac:dyDescent="0.2">
      <c r="A137" s="31"/>
      <c r="B137" s="39"/>
      <c r="C137" s="38"/>
      <c r="D137" s="242">
        <v>8</v>
      </c>
      <c r="E137" s="242">
        <v>1.22</v>
      </c>
      <c r="F137" s="33"/>
      <c r="G137" s="260">
        <v>0.61699999999999999</v>
      </c>
      <c r="H137" s="33">
        <f t="shared" si="4"/>
        <v>6.02</v>
      </c>
    </row>
    <row r="138" spans="1:8" s="30" customFormat="1" x14ac:dyDescent="0.2">
      <c r="A138" s="31"/>
      <c r="B138" s="39" t="s">
        <v>474</v>
      </c>
      <c r="C138" s="38"/>
      <c r="D138" s="242">
        <v>8</v>
      </c>
      <c r="E138" s="242">
        <v>1.22</v>
      </c>
      <c r="F138" s="33"/>
      <c r="G138" s="260">
        <v>0.61699999999999999</v>
      </c>
      <c r="H138" s="33">
        <f t="shared" si="4"/>
        <v>6.02</v>
      </c>
    </row>
    <row r="139" spans="1:8" s="30" customFormat="1" x14ac:dyDescent="0.2">
      <c r="A139" s="31"/>
      <c r="B139" s="39"/>
      <c r="C139" s="38"/>
      <c r="D139" s="242">
        <v>8</v>
      </c>
      <c r="E139" s="242">
        <v>1.22</v>
      </c>
      <c r="F139" s="33"/>
      <c r="G139" s="260">
        <v>0.61699999999999999</v>
      </c>
      <c r="H139" s="33">
        <f t="shared" si="4"/>
        <v>6.02</v>
      </c>
    </row>
    <row r="140" spans="1:8" s="30" customFormat="1" x14ac:dyDescent="0.2">
      <c r="A140" s="31"/>
      <c r="B140" s="39" t="s">
        <v>475</v>
      </c>
      <c r="C140" s="38"/>
      <c r="D140" s="242">
        <v>8</v>
      </c>
      <c r="E140" s="242">
        <v>1.22</v>
      </c>
      <c r="F140" s="33"/>
      <c r="G140" s="260">
        <v>0.61699999999999999</v>
      </c>
      <c r="H140" s="33">
        <f t="shared" si="4"/>
        <v>6.02</v>
      </c>
    </row>
    <row r="141" spans="1:8" s="30" customFormat="1" x14ac:dyDescent="0.2">
      <c r="A141" s="31"/>
      <c r="B141" s="39"/>
      <c r="C141" s="38"/>
      <c r="D141" s="242">
        <v>8</v>
      </c>
      <c r="E141" s="242">
        <v>1.22</v>
      </c>
      <c r="F141" s="33"/>
      <c r="G141" s="260">
        <v>0.61699999999999999</v>
      </c>
      <c r="H141" s="33">
        <f t="shared" si="4"/>
        <v>6.02</v>
      </c>
    </row>
    <row r="142" spans="1:8" s="30" customFormat="1" x14ac:dyDescent="0.2">
      <c r="A142" s="31"/>
      <c r="B142" s="39" t="s">
        <v>476</v>
      </c>
      <c r="C142" s="38"/>
      <c r="D142" s="242">
        <v>8</v>
      </c>
      <c r="E142" s="242">
        <v>1.22</v>
      </c>
      <c r="F142" s="33"/>
      <c r="G142" s="260">
        <v>0.61699999999999999</v>
      </c>
      <c r="H142" s="33">
        <f t="shared" si="4"/>
        <v>6.02</v>
      </c>
    </row>
    <row r="143" spans="1:8" s="30" customFormat="1" x14ac:dyDescent="0.2">
      <c r="A143" s="31"/>
      <c r="B143" s="39"/>
      <c r="C143" s="38"/>
      <c r="D143" s="242">
        <v>8</v>
      </c>
      <c r="E143" s="242">
        <v>1.22</v>
      </c>
      <c r="F143" s="33"/>
      <c r="G143" s="260">
        <v>0.61699999999999999</v>
      </c>
      <c r="H143" s="33">
        <f t="shared" si="4"/>
        <v>6.02</v>
      </c>
    </row>
    <row r="144" spans="1:8" s="30" customFormat="1" x14ac:dyDescent="0.2">
      <c r="A144" s="31"/>
      <c r="B144" s="39" t="s">
        <v>477</v>
      </c>
      <c r="C144" s="38"/>
      <c r="D144" s="242">
        <v>7</v>
      </c>
      <c r="E144" s="242">
        <v>1.02</v>
      </c>
      <c r="F144" s="33"/>
      <c r="G144" s="260">
        <v>0.61699999999999999</v>
      </c>
      <c r="H144" s="33">
        <f t="shared" si="4"/>
        <v>4.41</v>
      </c>
    </row>
    <row r="145" spans="1:8" s="30" customFormat="1" x14ac:dyDescent="0.2">
      <c r="A145" s="31"/>
      <c r="B145" s="39"/>
      <c r="C145" s="38"/>
      <c r="D145" s="242">
        <v>7</v>
      </c>
      <c r="E145" s="242">
        <v>1.02</v>
      </c>
      <c r="F145" s="33"/>
      <c r="G145" s="260">
        <v>0.61699999999999999</v>
      </c>
      <c r="H145" s="33">
        <f t="shared" si="4"/>
        <v>4.41</v>
      </c>
    </row>
    <row r="146" spans="1:8" s="30" customFormat="1" x14ac:dyDescent="0.2">
      <c r="A146" s="31"/>
      <c r="B146" s="39" t="s">
        <v>478</v>
      </c>
      <c r="C146" s="38"/>
      <c r="D146" s="242">
        <v>8</v>
      </c>
      <c r="E146" s="242">
        <v>1.22</v>
      </c>
      <c r="F146" s="33"/>
      <c r="G146" s="260">
        <v>0.61699999999999999</v>
      </c>
      <c r="H146" s="33">
        <f t="shared" si="4"/>
        <v>6.02</v>
      </c>
    </row>
    <row r="147" spans="1:8" s="30" customFormat="1" x14ac:dyDescent="0.2">
      <c r="A147" s="31"/>
      <c r="B147" s="39"/>
      <c r="C147" s="38"/>
      <c r="D147" s="242">
        <v>8</v>
      </c>
      <c r="E147" s="242">
        <v>1.22</v>
      </c>
      <c r="F147" s="33"/>
      <c r="G147" s="260">
        <v>0.61699999999999999</v>
      </c>
      <c r="H147" s="33">
        <f t="shared" si="4"/>
        <v>6.02</v>
      </c>
    </row>
    <row r="148" spans="1:8" s="30" customFormat="1" x14ac:dyDescent="0.2">
      <c r="A148" s="31"/>
      <c r="B148" s="39" t="s">
        <v>479</v>
      </c>
      <c r="C148" s="38"/>
      <c r="D148" s="242">
        <v>7</v>
      </c>
      <c r="E148" s="242">
        <v>1.02</v>
      </c>
      <c r="F148" s="33"/>
      <c r="G148" s="260">
        <v>0.61699999999999999</v>
      </c>
      <c r="H148" s="33">
        <f t="shared" si="4"/>
        <v>4.41</v>
      </c>
    </row>
    <row r="149" spans="1:8" s="30" customFormat="1" x14ac:dyDescent="0.2">
      <c r="A149" s="31"/>
      <c r="B149" s="39"/>
      <c r="C149" s="38"/>
      <c r="D149" s="242">
        <v>7</v>
      </c>
      <c r="E149" s="242">
        <v>1.02</v>
      </c>
      <c r="F149" s="33"/>
      <c r="G149" s="260">
        <v>0.61699999999999999</v>
      </c>
      <c r="H149" s="33">
        <f t="shared" si="4"/>
        <v>4.41</v>
      </c>
    </row>
    <row r="150" spans="1:8" s="30" customFormat="1" x14ac:dyDescent="0.2">
      <c r="A150" s="31"/>
      <c r="B150" s="39" t="s">
        <v>480</v>
      </c>
      <c r="C150" s="38"/>
      <c r="D150" s="242">
        <v>8</v>
      </c>
      <c r="E150" s="242">
        <v>1.22</v>
      </c>
      <c r="F150" s="33"/>
      <c r="G150" s="260">
        <v>0.61699999999999999</v>
      </c>
      <c r="H150" s="33">
        <f t="shared" si="4"/>
        <v>6.02</v>
      </c>
    </row>
    <row r="151" spans="1:8" s="30" customFormat="1" x14ac:dyDescent="0.2">
      <c r="A151" s="31"/>
      <c r="B151" s="39"/>
      <c r="C151" s="38"/>
      <c r="D151" s="242">
        <v>8</v>
      </c>
      <c r="E151" s="242">
        <v>1.22</v>
      </c>
      <c r="F151" s="33"/>
      <c r="G151" s="260">
        <v>0.61699999999999999</v>
      </c>
      <c r="H151" s="33">
        <f t="shared" si="4"/>
        <v>6.02</v>
      </c>
    </row>
    <row r="152" spans="1:8" s="30" customFormat="1" x14ac:dyDescent="0.2">
      <c r="A152" s="31"/>
      <c r="B152" s="39" t="s">
        <v>554</v>
      </c>
      <c r="C152" s="38"/>
      <c r="D152" s="242">
        <v>7</v>
      </c>
      <c r="E152" s="242">
        <v>1.02</v>
      </c>
      <c r="F152" s="33"/>
      <c r="G152" s="260">
        <v>0.61699999999999999</v>
      </c>
      <c r="H152" s="33">
        <f t="shared" si="4"/>
        <v>4.41</v>
      </c>
    </row>
    <row r="153" spans="1:8" s="30" customFormat="1" x14ac:dyDescent="0.2">
      <c r="A153" s="31"/>
      <c r="B153" s="39"/>
      <c r="C153" s="38"/>
      <c r="D153" s="242">
        <v>7</v>
      </c>
      <c r="E153" s="242">
        <v>1.02</v>
      </c>
      <c r="F153" s="33"/>
      <c r="G153" s="260">
        <v>0.61699999999999999</v>
      </c>
      <c r="H153" s="33">
        <f t="shared" si="4"/>
        <v>4.41</v>
      </c>
    </row>
    <row r="154" spans="1:8" s="30" customFormat="1" x14ac:dyDescent="0.2">
      <c r="A154" s="31"/>
      <c r="B154" s="39" t="s">
        <v>555</v>
      </c>
      <c r="C154" s="38"/>
      <c r="D154" s="242">
        <v>8</v>
      </c>
      <c r="E154" s="242">
        <v>1.22</v>
      </c>
      <c r="F154" s="33"/>
      <c r="G154" s="260">
        <v>0.61699999999999999</v>
      </c>
      <c r="H154" s="33">
        <f t="shared" si="4"/>
        <v>6.02</v>
      </c>
    </row>
    <row r="155" spans="1:8" s="30" customFormat="1" x14ac:dyDescent="0.2">
      <c r="A155" s="31"/>
      <c r="B155" s="39"/>
      <c r="C155" s="38"/>
      <c r="D155" s="242">
        <v>8</v>
      </c>
      <c r="E155" s="242">
        <v>1.22</v>
      </c>
      <c r="F155" s="33"/>
      <c r="G155" s="260">
        <v>0.61699999999999999</v>
      </c>
      <c r="H155" s="33">
        <f t="shared" si="4"/>
        <v>6.02</v>
      </c>
    </row>
    <row r="156" spans="1:8" s="30" customFormat="1" x14ac:dyDescent="0.2">
      <c r="A156" s="31"/>
      <c r="B156" s="39" t="s">
        <v>481</v>
      </c>
      <c r="C156" s="38"/>
      <c r="D156" s="242">
        <v>6</v>
      </c>
      <c r="E156" s="242">
        <v>0.92</v>
      </c>
      <c r="F156" s="33"/>
      <c r="G156" s="260">
        <v>0.61699999999999999</v>
      </c>
      <c r="H156" s="33">
        <f t="shared" si="4"/>
        <v>3.41</v>
      </c>
    </row>
    <row r="157" spans="1:8" s="30" customFormat="1" x14ac:dyDescent="0.2">
      <c r="A157" s="31"/>
      <c r="B157" s="39"/>
      <c r="C157" s="38"/>
      <c r="D157" s="242">
        <v>6</v>
      </c>
      <c r="E157" s="242">
        <v>0.92</v>
      </c>
      <c r="F157" s="33"/>
      <c r="G157" s="260">
        <v>0.61699999999999999</v>
      </c>
      <c r="H157" s="33">
        <f t="shared" si="4"/>
        <v>3.41</v>
      </c>
    </row>
    <row r="158" spans="1:8" s="30" customFormat="1" x14ac:dyDescent="0.2">
      <c r="A158" s="31"/>
      <c r="B158" s="39" t="s">
        <v>482</v>
      </c>
      <c r="C158" s="38"/>
      <c r="D158" s="242">
        <v>6</v>
      </c>
      <c r="E158" s="242">
        <v>0.92</v>
      </c>
      <c r="F158" s="33"/>
      <c r="G158" s="260">
        <v>0.61699999999999999</v>
      </c>
      <c r="H158" s="33">
        <f t="shared" si="4"/>
        <v>3.41</v>
      </c>
    </row>
    <row r="159" spans="1:8" s="30" customFormat="1" x14ac:dyDescent="0.2">
      <c r="A159" s="31"/>
      <c r="B159" s="39"/>
      <c r="C159" s="38"/>
      <c r="D159" s="242">
        <v>6</v>
      </c>
      <c r="E159" s="242">
        <v>0.92</v>
      </c>
      <c r="F159" s="33"/>
      <c r="G159" s="260">
        <v>0.61699999999999999</v>
      </c>
      <c r="H159" s="33">
        <f t="shared" si="4"/>
        <v>3.41</v>
      </c>
    </row>
    <row r="160" spans="1:8" s="30" customFormat="1" x14ac:dyDescent="0.2">
      <c r="A160" s="31"/>
      <c r="B160" s="39" t="s">
        <v>483</v>
      </c>
      <c r="C160" s="38"/>
      <c r="D160" s="242">
        <v>8</v>
      </c>
      <c r="E160" s="242">
        <v>1.22</v>
      </c>
      <c r="F160" s="33"/>
      <c r="G160" s="260">
        <v>0.61699999999999999</v>
      </c>
      <c r="H160" s="33">
        <f t="shared" si="4"/>
        <v>6.02</v>
      </c>
    </row>
    <row r="161" spans="1:8" s="30" customFormat="1" x14ac:dyDescent="0.2">
      <c r="A161" s="31"/>
      <c r="B161" s="39"/>
      <c r="C161" s="38"/>
      <c r="D161" s="242">
        <v>8</v>
      </c>
      <c r="E161" s="242">
        <v>1.22</v>
      </c>
      <c r="F161" s="33"/>
      <c r="G161" s="260">
        <v>0.61699999999999999</v>
      </c>
      <c r="H161" s="33">
        <f t="shared" si="4"/>
        <v>6.02</v>
      </c>
    </row>
    <row r="162" spans="1:8" s="30" customFormat="1" x14ac:dyDescent="0.2">
      <c r="A162" s="31"/>
      <c r="B162" s="39" t="s">
        <v>484</v>
      </c>
      <c r="C162" s="38"/>
      <c r="D162" s="242">
        <v>6</v>
      </c>
      <c r="E162" s="242">
        <v>0.92</v>
      </c>
      <c r="F162" s="33"/>
      <c r="G162" s="260">
        <v>0.61699999999999999</v>
      </c>
      <c r="H162" s="33">
        <f t="shared" si="4"/>
        <v>3.41</v>
      </c>
    </row>
    <row r="163" spans="1:8" s="30" customFormat="1" x14ac:dyDescent="0.2">
      <c r="A163" s="31"/>
      <c r="B163" s="39"/>
      <c r="C163" s="38"/>
      <c r="D163" s="242">
        <v>6</v>
      </c>
      <c r="E163" s="242">
        <v>0.92</v>
      </c>
      <c r="F163" s="33"/>
      <c r="G163" s="260">
        <v>0.61699999999999999</v>
      </c>
      <c r="H163" s="33">
        <f t="shared" si="4"/>
        <v>3.41</v>
      </c>
    </row>
    <row r="164" spans="1:8" s="30" customFormat="1" x14ac:dyDescent="0.2">
      <c r="A164" s="31"/>
      <c r="B164" s="39" t="s">
        <v>485</v>
      </c>
      <c r="C164" s="38"/>
      <c r="D164" s="242">
        <v>8</v>
      </c>
      <c r="E164" s="242">
        <v>1.22</v>
      </c>
      <c r="F164" s="33"/>
      <c r="G164" s="260">
        <v>0.61699999999999999</v>
      </c>
      <c r="H164" s="33">
        <f t="shared" si="4"/>
        <v>6.02</v>
      </c>
    </row>
    <row r="165" spans="1:8" s="30" customFormat="1" x14ac:dyDescent="0.2">
      <c r="A165" s="31"/>
      <c r="B165" s="39"/>
      <c r="C165" s="38"/>
      <c r="D165" s="242">
        <v>8</v>
      </c>
      <c r="E165" s="242">
        <v>1.22</v>
      </c>
      <c r="F165" s="33"/>
      <c r="G165" s="260">
        <v>0.61699999999999999</v>
      </c>
      <c r="H165" s="33">
        <f t="shared" si="4"/>
        <v>6.02</v>
      </c>
    </row>
    <row r="166" spans="1:8" s="30" customFormat="1" x14ac:dyDescent="0.2">
      <c r="A166" s="31"/>
      <c r="B166" s="39" t="s">
        <v>486</v>
      </c>
      <c r="C166" s="38"/>
      <c r="D166" s="242">
        <v>6</v>
      </c>
      <c r="E166" s="242">
        <v>0.92</v>
      </c>
      <c r="F166" s="33"/>
      <c r="G166" s="260">
        <v>0.61699999999999999</v>
      </c>
      <c r="H166" s="33">
        <f t="shared" si="4"/>
        <v>3.41</v>
      </c>
    </row>
    <row r="167" spans="1:8" s="30" customFormat="1" x14ac:dyDescent="0.2">
      <c r="A167" s="31"/>
      <c r="B167" s="39"/>
      <c r="C167" s="38"/>
      <c r="D167" s="242">
        <v>6</v>
      </c>
      <c r="E167" s="242">
        <v>0.92</v>
      </c>
      <c r="F167" s="33"/>
      <c r="G167" s="260">
        <v>0.61699999999999999</v>
      </c>
      <c r="H167" s="33">
        <f t="shared" si="4"/>
        <v>3.41</v>
      </c>
    </row>
    <row r="168" spans="1:8" s="30" customFormat="1" x14ac:dyDescent="0.2">
      <c r="A168" s="31"/>
      <c r="B168" s="39" t="s">
        <v>487</v>
      </c>
      <c r="C168" s="38"/>
      <c r="D168" s="242">
        <v>8</v>
      </c>
      <c r="E168" s="242">
        <v>1.22</v>
      </c>
      <c r="F168" s="33"/>
      <c r="G168" s="260">
        <v>0.61699999999999999</v>
      </c>
      <c r="H168" s="33">
        <f t="shared" si="4"/>
        <v>6.02</v>
      </c>
    </row>
    <row r="169" spans="1:8" s="30" customFormat="1" x14ac:dyDescent="0.2">
      <c r="A169" s="31"/>
      <c r="B169" s="39"/>
      <c r="C169" s="38"/>
      <c r="D169" s="242">
        <v>8</v>
      </c>
      <c r="E169" s="242">
        <v>1.22</v>
      </c>
      <c r="F169" s="33"/>
      <c r="G169" s="260">
        <v>0.61699999999999999</v>
      </c>
      <c r="H169" s="33">
        <f t="shared" si="4"/>
        <v>6.02</v>
      </c>
    </row>
    <row r="170" spans="1:8" s="30" customFormat="1" x14ac:dyDescent="0.2">
      <c r="A170" s="31"/>
      <c r="B170" s="39" t="s">
        <v>488</v>
      </c>
      <c r="C170" s="38"/>
      <c r="D170" s="242">
        <v>8</v>
      </c>
      <c r="E170" s="242">
        <v>1.22</v>
      </c>
      <c r="F170" s="33"/>
      <c r="G170" s="260">
        <v>0.61699999999999999</v>
      </c>
      <c r="H170" s="33">
        <f t="shared" si="4"/>
        <v>6.02</v>
      </c>
    </row>
    <row r="171" spans="1:8" s="30" customFormat="1" x14ac:dyDescent="0.2">
      <c r="A171" s="31"/>
      <c r="B171" s="39"/>
      <c r="C171" s="38"/>
      <c r="D171" s="242">
        <v>8</v>
      </c>
      <c r="E171" s="242">
        <v>1.22</v>
      </c>
      <c r="F171" s="33"/>
      <c r="G171" s="260">
        <v>0.61699999999999999</v>
      </c>
      <c r="H171" s="33">
        <f t="shared" si="4"/>
        <v>6.02</v>
      </c>
    </row>
    <row r="172" spans="1:8" s="30" customFormat="1" x14ac:dyDescent="0.2">
      <c r="A172" s="31"/>
      <c r="B172" s="39" t="s">
        <v>489</v>
      </c>
      <c r="C172" s="38"/>
      <c r="D172" s="242">
        <v>8</v>
      </c>
      <c r="E172" s="242">
        <v>1.22</v>
      </c>
      <c r="F172" s="33"/>
      <c r="G172" s="260">
        <v>0.61699999999999999</v>
      </c>
      <c r="H172" s="33">
        <f t="shared" si="4"/>
        <v>6.02</v>
      </c>
    </row>
    <row r="173" spans="1:8" s="30" customFormat="1" x14ac:dyDescent="0.2">
      <c r="A173" s="31"/>
      <c r="B173" s="39"/>
      <c r="C173" s="38"/>
      <c r="D173" s="242">
        <v>8</v>
      </c>
      <c r="E173" s="242">
        <v>1.22</v>
      </c>
      <c r="F173" s="33"/>
      <c r="G173" s="260">
        <v>0.61699999999999999</v>
      </c>
      <c r="H173" s="33">
        <f t="shared" si="4"/>
        <v>6.02</v>
      </c>
    </row>
    <row r="174" spans="1:8" s="30" customFormat="1" x14ac:dyDescent="0.2">
      <c r="A174" s="31"/>
      <c r="B174" s="39" t="s">
        <v>490</v>
      </c>
      <c r="C174" s="38"/>
      <c r="D174" s="242">
        <v>8</v>
      </c>
      <c r="E174" s="242">
        <v>1.22</v>
      </c>
      <c r="F174" s="33"/>
      <c r="G174" s="260">
        <v>0.61699999999999999</v>
      </c>
      <c r="H174" s="33">
        <f t="shared" si="4"/>
        <v>6.02</v>
      </c>
    </row>
    <row r="175" spans="1:8" s="30" customFormat="1" x14ac:dyDescent="0.2">
      <c r="A175" s="31"/>
      <c r="B175" s="39"/>
      <c r="C175" s="38"/>
      <c r="D175" s="242">
        <v>8</v>
      </c>
      <c r="E175" s="242">
        <v>1.22</v>
      </c>
      <c r="F175" s="33"/>
      <c r="G175" s="260">
        <v>0.61699999999999999</v>
      </c>
      <c r="H175" s="33">
        <f t="shared" si="4"/>
        <v>6.02</v>
      </c>
    </row>
    <row r="176" spans="1:8" s="30" customFormat="1" x14ac:dyDescent="0.2">
      <c r="A176" s="31"/>
      <c r="B176" s="39" t="s">
        <v>491</v>
      </c>
      <c r="C176" s="38"/>
      <c r="D176" s="242">
        <v>8</v>
      </c>
      <c r="E176" s="242">
        <v>1.22</v>
      </c>
      <c r="F176" s="33"/>
      <c r="G176" s="260">
        <v>0.61699999999999999</v>
      </c>
      <c r="H176" s="33">
        <f t="shared" si="4"/>
        <v>6.02</v>
      </c>
    </row>
    <row r="177" spans="1:8" s="30" customFormat="1" x14ac:dyDescent="0.2">
      <c r="A177" s="31"/>
      <c r="B177" s="39"/>
      <c r="C177" s="38"/>
      <c r="D177" s="242">
        <v>8</v>
      </c>
      <c r="E177" s="242">
        <v>1.22</v>
      </c>
      <c r="F177" s="33"/>
      <c r="G177" s="260">
        <v>0.61699999999999999</v>
      </c>
      <c r="H177" s="33">
        <f t="shared" si="4"/>
        <v>6.02</v>
      </c>
    </row>
    <row r="178" spans="1:8" s="30" customFormat="1" x14ac:dyDescent="0.2">
      <c r="A178" s="31"/>
      <c r="B178" s="39" t="s">
        <v>492</v>
      </c>
      <c r="C178" s="38"/>
      <c r="D178" s="242">
        <v>8</v>
      </c>
      <c r="E178" s="242">
        <v>1.22</v>
      </c>
      <c r="F178" s="33"/>
      <c r="G178" s="260">
        <v>0.61699999999999999</v>
      </c>
      <c r="H178" s="33">
        <f t="shared" si="4"/>
        <v>6.02</v>
      </c>
    </row>
    <row r="179" spans="1:8" s="30" customFormat="1" x14ac:dyDescent="0.2">
      <c r="A179" s="31"/>
      <c r="B179" s="39"/>
      <c r="C179" s="38"/>
      <c r="D179" s="242">
        <v>8</v>
      </c>
      <c r="E179" s="242">
        <v>1.22</v>
      </c>
      <c r="F179" s="33"/>
      <c r="G179" s="260">
        <v>0.61699999999999999</v>
      </c>
      <c r="H179" s="33">
        <f t="shared" si="4"/>
        <v>6.02</v>
      </c>
    </row>
    <row r="180" spans="1:8" s="30" customFormat="1" x14ac:dyDescent="0.2">
      <c r="A180" s="31"/>
      <c r="B180" s="39" t="s">
        <v>493</v>
      </c>
      <c r="C180" s="38"/>
      <c r="D180" s="242">
        <v>8</v>
      </c>
      <c r="E180" s="242">
        <v>1.22</v>
      </c>
      <c r="F180" s="33"/>
      <c r="G180" s="260">
        <v>0.61699999999999999</v>
      </c>
      <c r="H180" s="33">
        <f t="shared" ref="H180:H181" si="5">ROUND(PRODUCT(D180:G180),2)</f>
        <v>6.02</v>
      </c>
    </row>
    <row r="181" spans="1:8" s="30" customFormat="1" x14ac:dyDescent="0.2">
      <c r="A181" s="31"/>
      <c r="B181" s="39"/>
      <c r="C181" s="38"/>
      <c r="D181" s="242">
        <v>8</v>
      </c>
      <c r="E181" s="242">
        <v>1.22</v>
      </c>
      <c r="F181" s="33"/>
      <c r="G181" s="260">
        <v>0.61699999999999999</v>
      </c>
      <c r="H181" s="33">
        <f t="shared" si="5"/>
        <v>6.02</v>
      </c>
    </row>
    <row r="182" spans="1:8" s="30" customFormat="1" x14ac:dyDescent="0.2">
      <c r="A182" s="31"/>
      <c r="B182" s="39" t="s">
        <v>318</v>
      </c>
      <c r="C182" s="38"/>
      <c r="D182" s="33"/>
      <c r="E182" s="33"/>
      <c r="F182" s="33"/>
      <c r="G182" s="33"/>
      <c r="H182" s="33"/>
    </row>
    <row r="183" spans="1:8" s="30" customFormat="1" x14ac:dyDescent="0.2">
      <c r="A183" s="31"/>
      <c r="B183" s="229" t="s">
        <v>301</v>
      </c>
      <c r="C183" s="38"/>
      <c r="D183" s="33">
        <v>4</v>
      </c>
      <c r="E183" s="33">
        <v>13.85</v>
      </c>
      <c r="F183" s="33"/>
      <c r="G183" s="260">
        <v>0.61699999999999999</v>
      </c>
      <c r="H183" s="33">
        <f t="shared" ref="H183:H196" si="6">ROUND(PRODUCT(D183:G183),2)</f>
        <v>34.18</v>
      </c>
    </row>
    <row r="184" spans="1:8" s="30" customFormat="1" x14ac:dyDescent="0.2">
      <c r="A184" s="31"/>
      <c r="B184" s="229" t="s">
        <v>302</v>
      </c>
      <c r="C184" s="38"/>
      <c r="D184" s="33">
        <v>4</v>
      </c>
      <c r="E184" s="33">
        <v>13.85</v>
      </c>
      <c r="F184" s="33"/>
      <c r="G184" s="260">
        <v>0.61699999999999999</v>
      </c>
      <c r="H184" s="33">
        <f t="shared" si="6"/>
        <v>34.18</v>
      </c>
    </row>
    <row r="185" spans="1:8" s="30" customFormat="1" x14ac:dyDescent="0.2">
      <c r="A185" s="31"/>
      <c r="B185" s="229" t="s">
        <v>303</v>
      </c>
      <c r="C185" s="38"/>
      <c r="D185" s="33">
        <v>4</v>
      </c>
      <c r="E185" s="33">
        <v>13.85</v>
      </c>
      <c r="F185" s="33"/>
      <c r="G185" s="260">
        <v>0.61699999999999999</v>
      </c>
      <c r="H185" s="33">
        <f t="shared" si="6"/>
        <v>34.18</v>
      </c>
    </row>
    <row r="186" spans="1:8" s="30" customFormat="1" x14ac:dyDescent="0.2">
      <c r="A186" s="31"/>
      <c r="B186" s="229" t="s">
        <v>304</v>
      </c>
      <c r="C186" s="38"/>
      <c r="D186" s="33">
        <v>4</v>
      </c>
      <c r="E186" s="33">
        <f>6.85+6.8+6.85</f>
        <v>20.5</v>
      </c>
      <c r="F186" s="33"/>
      <c r="G186" s="260">
        <v>0.61699999999999999</v>
      </c>
      <c r="H186" s="33">
        <f t="shared" si="6"/>
        <v>50.59</v>
      </c>
    </row>
    <row r="187" spans="1:8" s="30" customFormat="1" x14ac:dyDescent="0.2">
      <c r="A187" s="31"/>
      <c r="B187" s="229" t="s">
        <v>305</v>
      </c>
      <c r="C187" s="38"/>
      <c r="D187" s="33">
        <v>4</v>
      </c>
      <c r="E187" s="33">
        <f>6.85+6.8+6.85</f>
        <v>20.5</v>
      </c>
      <c r="F187" s="33"/>
      <c r="G187" s="260">
        <v>0.61699999999999999</v>
      </c>
      <c r="H187" s="33">
        <f t="shared" si="6"/>
        <v>50.59</v>
      </c>
    </row>
    <row r="188" spans="1:8" s="30" customFormat="1" x14ac:dyDescent="0.2">
      <c r="A188" s="31"/>
      <c r="B188" s="229" t="s">
        <v>306</v>
      </c>
      <c r="C188" s="38"/>
      <c r="D188" s="33">
        <v>4</v>
      </c>
      <c r="E188" s="33">
        <v>13.7</v>
      </c>
      <c r="F188" s="33"/>
      <c r="G188" s="260">
        <v>0.61699999999999999</v>
      </c>
      <c r="H188" s="33">
        <f t="shared" si="6"/>
        <v>33.81</v>
      </c>
    </row>
    <row r="189" spans="1:8" s="30" customFormat="1" x14ac:dyDescent="0.2">
      <c r="A189" s="31"/>
      <c r="B189" s="229" t="s">
        <v>307</v>
      </c>
      <c r="C189" s="38"/>
      <c r="D189" s="33">
        <v>4</v>
      </c>
      <c r="E189" s="33">
        <v>13.7</v>
      </c>
      <c r="F189" s="33"/>
      <c r="G189" s="260">
        <v>0.61699999999999999</v>
      </c>
      <c r="H189" s="33">
        <f t="shared" si="6"/>
        <v>33.81</v>
      </c>
    </row>
    <row r="190" spans="1:8" s="30" customFormat="1" x14ac:dyDescent="0.2">
      <c r="A190" s="31"/>
      <c r="B190" s="229" t="s">
        <v>308</v>
      </c>
      <c r="C190" s="38"/>
      <c r="D190" s="33">
        <v>4</v>
      </c>
      <c r="E190" s="33">
        <v>13.64</v>
      </c>
      <c r="F190" s="33"/>
      <c r="G190" s="260">
        <v>0.61699999999999999</v>
      </c>
      <c r="H190" s="33">
        <f t="shared" si="6"/>
        <v>33.659999999999997</v>
      </c>
    </row>
    <row r="191" spans="1:8" s="30" customFormat="1" x14ac:dyDescent="0.2">
      <c r="A191" s="31"/>
      <c r="B191" s="229" t="s">
        <v>309</v>
      </c>
      <c r="C191" s="38"/>
      <c r="D191" s="33">
        <v>4</v>
      </c>
      <c r="E191" s="33">
        <v>2.15</v>
      </c>
      <c r="F191" s="33"/>
      <c r="G191" s="260">
        <v>0.61699999999999999</v>
      </c>
      <c r="H191" s="33">
        <f t="shared" si="6"/>
        <v>5.31</v>
      </c>
    </row>
    <row r="192" spans="1:8" s="30" customFormat="1" x14ac:dyDescent="0.2">
      <c r="A192" s="31"/>
      <c r="B192" s="229" t="s">
        <v>310</v>
      </c>
      <c r="C192" s="38"/>
      <c r="D192" s="33">
        <v>4</v>
      </c>
      <c r="E192" s="33">
        <v>24.85</v>
      </c>
      <c r="F192" s="33"/>
      <c r="G192" s="260">
        <v>0.61699999999999999</v>
      </c>
      <c r="H192" s="33">
        <f t="shared" si="6"/>
        <v>61.33</v>
      </c>
    </row>
    <row r="193" spans="1:8" s="30" customFormat="1" x14ac:dyDescent="0.2">
      <c r="A193" s="31"/>
      <c r="B193" s="229" t="s">
        <v>311</v>
      </c>
      <c r="C193" s="38"/>
      <c r="D193" s="33">
        <v>4</v>
      </c>
      <c r="E193" s="33">
        <v>1.9</v>
      </c>
      <c r="F193" s="33"/>
      <c r="G193" s="260">
        <v>0.61699999999999999</v>
      </c>
      <c r="H193" s="33">
        <f t="shared" si="6"/>
        <v>4.6900000000000004</v>
      </c>
    </row>
    <row r="194" spans="1:8" s="30" customFormat="1" x14ac:dyDescent="0.2">
      <c r="A194" s="31"/>
      <c r="B194" s="229" t="s">
        <v>312</v>
      </c>
      <c r="C194" s="38"/>
      <c r="D194" s="33">
        <v>4</v>
      </c>
      <c r="E194" s="33">
        <v>24.85</v>
      </c>
      <c r="F194" s="33"/>
      <c r="G194" s="260">
        <v>0.61699999999999999</v>
      </c>
      <c r="H194" s="33">
        <f t="shared" si="6"/>
        <v>61.33</v>
      </c>
    </row>
    <row r="195" spans="1:8" s="30" customFormat="1" x14ac:dyDescent="0.2">
      <c r="A195" s="31"/>
      <c r="B195" s="229" t="s">
        <v>313</v>
      </c>
      <c r="C195" s="38"/>
      <c r="D195" s="33">
        <v>4</v>
      </c>
      <c r="E195" s="33">
        <v>1.9</v>
      </c>
      <c r="F195" s="33"/>
      <c r="G195" s="260">
        <v>0.61699999999999999</v>
      </c>
      <c r="H195" s="33">
        <f t="shared" si="6"/>
        <v>4.6900000000000004</v>
      </c>
    </row>
    <row r="196" spans="1:8" s="30" customFormat="1" x14ac:dyDescent="0.2">
      <c r="A196" s="31"/>
      <c r="B196" s="229" t="s">
        <v>314</v>
      </c>
      <c r="C196" s="38"/>
      <c r="D196" s="33">
        <v>4</v>
      </c>
      <c r="E196" s="33">
        <v>11.85</v>
      </c>
      <c r="F196" s="33"/>
      <c r="G196" s="260">
        <v>0.61699999999999999</v>
      </c>
      <c r="H196" s="33">
        <f t="shared" si="6"/>
        <v>29.25</v>
      </c>
    </row>
    <row r="197" spans="1:8" s="30" customFormat="1" x14ac:dyDescent="0.2">
      <c r="A197" s="31"/>
      <c r="B197" s="39" t="str">
        <f>"Total item "&amp;A114</f>
        <v>Total item 4.4</v>
      </c>
      <c r="C197" s="38"/>
      <c r="D197" s="33"/>
      <c r="E197" s="33"/>
      <c r="F197" s="33"/>
      <c r="G197" s="33"/>
      <c r="H197" s="19">
        <f>SUM(H115:H196)</f>
        <v>815.8399999999998</v>
      </c>
    </row>
    <row r="198" spans="1:8" s="30" customFormat="1" x14ac:dyDescent="0.2">
      <c r="A198" s="31"/>
      <c r="B198" s="223"/>
      <c r="C198" s="32"/>
      <c r="D198" s="224"/>
      <c r="E198" s="224"/>
      <c r="F198" s="224"/>
      <c r="G198" s="224"/>
      <c r="H198" s="224"/>
    </row>
    <row r="199" spans="1:8" s="30" customFormat="1" ht="33.75" x14ac:dyDescent="0.2">
      <c r="A199" s="225" t="s">
        <v>446</v>
      </c>
      <c r="B199" s="243" t="s">
        <v>274</v>
      </c>
      <c r="C199" s="227" t="s">
        <v>268</v>
      </c>
      <c r="D199" s="19"/>
      <c r="E199" s="19"/>
      <c r="F199" s="19"/>
      <c r="G199" s="19" t="s">
        <v>462</v>
      </c>
      <c r="H199" s="19"/>
    </row>
    <row r="200" spans="1:8" s="30" customFormat="1" ht="22.5" x14ac:dyDescent="0.2">
      <c r="A200" s="31"/>
      <c r="B200" s="39" t="s">
        <v>266</v>
      </c>
      <c r="C200" s="38"/>
      <c r="D200" s="242"/>
      <c r="E200" s="242"/>
      <c r="F200" s="33"/>
      <c r="G200" s="33"/>
      <c r="H200" s="33"/>
    </row>
    <row r="201" spans="1:8" s="30" customFormat="1" x14ac:dyDescent="0.2">
      <c r="A201" s="31"/>
      <c r="B201" s="39" t="s">
        <v>318</v>
      </c>
      <c r="C201" s="38"/>
      <c r="D201" s="33"/>
      <c r="E201" s="33"/>
      <c r="F201" s="33"/>
      <c r="G201" s="33"/>
      <c r="H201" s="33"/>
    </row>
    <row r="202" spans="1:8" s="30" customFormat="1" x14ac:dyDescent="0.2">
      <c r="A202" s="31"/>
      <c r="B202" s="229" t="s">
        <v>301</v>
      </c>
      <c r="C202" s="38"/>
      <c r="D202" s="33">
        <v>139</v>
      </c>
      <c r="E202" s="33">
        <v>1</v>
      </c>
      <c r="F202" s="33"/>
      <c r="G202" s="260">
        <v>0.154</v>
      </c>
      <c r="H202" s="33">
        <f t="shared" ref="H202:H215" si="7">ROUND(PRODUCT(D202:G202),2)</f>
        <v>21.41</v>
      </c>
    </row>
    <row r="203" spans="1:8" s="30" customFormat="1" x14ac:dyDescent="0.2">
      <c r="A203" s="31"/>
      <c r="B203" s="229" t="s">
        <v>302</v>
      </c>
      <c r="C203" s="38"/>
      <c r="D203" s="33">
        <v>139</v>
      </c>
      <c r="E203" s="33">
        <v>1</v>
      </c>
      <c r="F203" s="33"/>
      <c r="G203" s="260">
        <v>0.154</v>
      </c>
      <c r="H203" s="33">
        <f t="shared" si="7"/>
        <v>21.41</v>
      </c>
    </row>
    <row r="204" spans="1:8" s="30" customFormat="1" x14ac:dyDescent="0.2">
      <c r="A204" s="31"/>
      <c r="B204" s="229" t="s">
        <v>303</v>
      </c>
      <c r="C204" s="38"/>
      <c r="D204" s="33">
        <v>139</v>
      </c>
      <c r="E204" s="33">
        <v>1</v>
      </c>
      <c r="F204" s="33"/>
      <c r="G204" s="260">
        <v>0.154</v>
      </c>
      <c r="H204" s="33">
        <f t="shared" si="7"/>
        <v>21.41</v>
      </c>
    </row>
    <row r="205" spans="1:8" s="30" customFormat="1" x14ac:dyDescent="0.2">
      <c r="A205" s="31"/>
      <c r="B205" s="229" t="s">
        <v>304</v>
      </c>
      <c r="C205" s="38"/>
      <c r="D205" s="33">
        <v>201</v>
      </c>
      <c r="E205" s="33">
        <v>1</v>
      </c>
      <c r="F205" s="33"/>
      <c r="G205" s="260">
        <v>0.154</v>
      </c>
      <c r="H205" s="33">
        <f t="shared" si="7"/>
        <v>30.95</v>
      </c>
    </row>
    <row r="206" spans="1:8" s="30" customFormat="1" x14ac:dyDescent="0.2">
      <c r="A206" s="31"/>
      <c r="B206" s="229" t="s">
        <v>305</v>
      </c>
      <c r="C206" s="38"/>
      <c r="D206" s="33">
        <v>201</v>
      </c>
      <c r="E206" s="33">
        <v>1</v>
      </c>
      <c r="F206" s="33"/>
      <c r="G206" s="260">
        <v>0.154</v>
      </c>
      <c r="H206" s="33">
        <f t="shared" si="7"/>
        <v>30.95</v>
      </c>
    </row>
    <row r="207" spans="1:8" s="30" customFormat="1" x14ac:dyDescent="0.2">
      <c r="A207" s="31"/>
      <c r="B207" s="229" t="s">
        <v>306</v>
      </c>
      <c r="C207" s="38"/>
      <c r="D207" s="33">
        <v>137</v>
      </c>
      <c r="E207" s="33">
        <v>1</v>
      </c>
      <c r="F207" s="33"/>
      <c r="G207" s="260">
        <v>0.154</v>
      </c>
      <c r="H207" s="33">
        <f t="shared" si="7"/>
        <v>21.1</v>
      </c>
    </row>
    <row r="208" spans="1:8" s="30" customFormat="1" x14ac:dyDescent="0.2">
      <c r="A208" s="31"/>
      <c r="B208" s="229" t="s">
        <v>307</v>
      </c>
      <c r="C208" s="38"/>
      <c r="D208" s="33">
        <v>137</v>
      </c>
      <c r="E208" s="33">
        <v>1</v>
      </c>
      <c r="F208" s="33"/>
      <c r="G208" s="260">
        <v>0.154</v>
      </c>
      <c r="H208" s="33">
        <f t="shared" si="7"/>
        <v>21.1</v>
      </c>
    </row>
    <row r="209" spans="1:8" s="30" customFormat="1" x14ac:dyDescent="0.2">
      <c r="A209" s="31"/>
      <c r="B209" s="229" t="s">
        <v>308</v>
      </c>
      <c r="C209" s="38"/>
      <c r="D209" s="33">
        <v>137</v>
      </c>
      <c r="E209" s="33">
        <v>1</v>
      </c>
      <c r="F209" s="33"/>
      <c r="G209" s="260">
        <v>0.154</v>
      </c>
      <c r="H209" s="33">
        <f t="shared" si="7"/>
        <v>21.1</v>
      </c>
    </row>
    <row r="210" spans="1:8" s="30" customFormat="1" x14ac:dyDescent="0.2">
      <c r="A210" s="31"/>
      <c r="B210" s="229" t="s">
        <v>309</v>
      </c>
      <c r="C210" s="38"/>
      <c r="D210" s="33">
        <v>22</v>
      </c>
      <c r="E210" s="33">
        <v>1</v>
      </c>
      <c r="F210" s="33"/>
      <c r="G210" s="260">
        <v>0.154</v>
      </c>
      <c r="H210" s="33">
        <f t="shared" si="7"/>
        <v>3.39</v>
      </c>
    </row>
    <row r="211" spans="1:8" s="30" customFormat="1" x14ac:dyDescent="0.2">
      <c r="A211" s="31"/>
      <c r="B211" s="229" t="s">
        <v>310</v>
      </c>
      <c r="C211" s="38"/>
      <c r="D211" s="33">
        <v>249</v>
      </c>
      <c r="E211" s="33">
        <v>1</v>
      </c>
      <c r="F211" s="33"/>
      <c r="G211" s="260">
        <v>0.154</v>
      </c>
      <c r="H211" s="33">
        <f t="shared" si="7"/>
        <v>38.35</v>
      </c>
    </row>
    <row r="212" spans="1:8" s="30" customFormat="1" x14ac:dyDescent="0.2">
      <c r="A212" s="31"/>
      <c r="B212" s="229" t="s">
        <v>311</v>
      </c>
      <c r="C212" s="38"/>
      <c r="D212" s="33">
        <f t="shared" ref="D212:D214" si="8">E212/0.1</f>
        <v>10</v>
      </c>
      <c r="E212" s="33">
        <v>1</v>
      </c>
      <c r="F212" s="33"/>
      <c r="G212" s="260">
        <v>0.154</v>
      </c>
      <c r="H212" s="33">
        <f t="shared" si="7"/>
        <v>1.54</v>
      </c>
    </row>
    <row r="213" spans="1:8" s="30" customFormat="1" x14ac:dyDescent="0.2">
      <c r="A213" s="31"/>
      <c r="B213" s="229" t="s">
        <v>312</v>
      </c>
      <c r="C213" s="38"/>
      <c r="D213" s="33">
        <v>249</v>
      </c>
      <c r="E213" s="33">
        <v>1</v>
      </c>
      <c r="F213" s="33"/>
      <c r="G213" s="260">
        <v>0.154</v>
      </c>
      <c r="H213" s="33">
        <f t="shared" si="7"/>
        <v>38.35</v>
      </c>
    </row>
    <row r="214" spans="1:8" s="30" customFormat="1" x14ac:dyDescent="0.2">
      <c r="A214" s="31"/>
      <c r="B214" s="229" t="s">
        <v>313</v>
      </c>
      <c r="C214" s="38"/>
      <c r="D214" s="33">
        <f t="shared" si="8"/>
        <v>10</v>
      </c>
      <c r="E214" s="33">
        <v>1</v>
      </c>
      <c r="F214" s="33"/>
      <c r="G214" s="260">
        <v>0.154</v>
      </c>
      <c r="H214" s="33">
        <f t="shared" si="7"/>
        <v>1.54</v>
      </c>
    </row>
    <row r="215" spans="1:8" s="30" customFormat="1" x14ac:dyDescent="0.2">
      <c r="A215" s="31"/>
      <c r="B215" s="229" t="s">
        <v>313</v>
      </c>
      <c r="C215" s="38"/>
      <c r="D215" s="33">
        <v>119</v>
      </c>
      <c r="E215" s="33">
        <v>1</v>
      </c>
      <c r="F215" s="33"/>
      <c r="G215" s="260">
        <v>0.154</v>
      </c>
      <c r="H215" s="33">
        <f t="shared" si="7"/>
        <v>18.329999999999998</v>
      </c>
    </row>
    <row r="216" spans="1:8" s="30" customFormat="1" x14ac:dyDescent="0.2">
      <c r="A216" s="31"/>
      <c r="B216" s="39" t="str">
        <f>"Total item "&amp;A199</f>
        <v>Total item 4.5</v>
      </c>
      <c r="C216" s="38"/>
      <c r="D216" s="33"/>
      <c r="E216" s="33"/>
      <c r="F216" s="33"/>
      <c r="G216" s="33"/>
      <c r="H216" s="19">
        <f>SUM(H200:H215)</f>
        <v>290.93</v>
      </c>
    </row>
    <row r="217" spans="1:8" s="30" customFormat="1" x14ac:dyDescent="0.2">
      <c r="A217" s="31"/>
      <c r="B217" s="223"/>
      <c r="C217" s="32"/>
      <c r="D217" s="224"/>
      <c r="E217" s="224"/>
      <c r="F217" s="224"/>
      <c r="G217" s="224"/>
      <c r="H217" s="224"/>
    </row>
    <row r="218" spans="1:8" s="30" customFormat="1" ht="33.75" x14ac:dyDescent="0.2">
      <c r="A218" s="225" t="s">
        <v>447</v>
      </c>
      <c r="B218" s="243" t="s">
        <v>319</v>
      </c>
      <c r="C218" s="227" t="s">
        <v>106</v>
      </c>
      <c r="D218" s="19"/>
      <c r="E218" s="19"/>
      <c r="F218" s="19"/>
      <c r="G218" s="19"/>
      <c r="H218" s="19"/>
    </row>
    <row r="219" spans="1:8" s="30" customFormat="1" x14ac:dyDescent="0.2">
      <c r="A219" s="31"/>
      <c r="B219" s="39" t="s">
        <v>294</v>
      </c>
      <c r="C219" s="38"/>
      <c r="D219" s="33">
        <v>19</v>
      </c>
      <c r="E219" s="33">
        <v>1</v>
      </c>
      <c r="F219" s="33">
        <v>1</v>
      </c>
      <c r="G219" s="33">
        <v>0.2</v>
      </c>
      <c r="H219" s="262">
        <f>ROUND(PRODUCT(D219:G219),2)</f>
        <v>3.8</v>
      </c>
    </row>
    <row r="220" spans="1:8" s="30" customFormat="1" ht="12" x14ac:dyDescent="0.2">
      <c r="A220" s="31"/>
      <c r="B220" s="261" t="s">
        <v>494</v>
      </c>
      <c r="C220" s="38"/>
      <c r="D220" s="33"/>
      <c r="E220" s="33"/>
      <c r="F220" s="33"/>
      <c r="G220" s="33"/>
      <c r="H220" s="262"/>
    </row>
    <row r="221" spans="1:8" s="30" customFormat="1" x14ac:dyDescent="0.2">
      <c r="A221" s="31"/>
      <c r="B221" s="229" t="s">
        <v>495</v>
      </c>
      <c r="C221" s="229"/>
      <c r="D221" s="39" t="s">
        <v>496</v>
      </c>
      <c r="E221" s="39" t="s">
        <v>497</v>
      </c>
      <c r="F221" s="39" t="s">
        <v>498</v>
      </c>
      <c r="G221" s="39" t="s">
        <v>499</v>
      </c>
      <c r="H221" s="264"/>
    </row>
    <row r="222" spans="1:8" s="30" customFormat="1" ht="15.75" customHeight="1" x14ac:dyDescent="0.2">
      <c r="A222" s="31"/>
      <c r="B222" s="266"/>
      <c r="C222" s="229"/>
      <c r="D222" s="229">
        <v>1</v>
      </c>
      <c r="E222" s="229">
        <v>1</v>
      </c>
      <c r="F222" s="229">
        <v>0.2</v>
      </c>
      <c r="G222" s="229">
        <v>0.4</v>
      </c>
      <c r="H222" s="263"/>
    </row>
    <row r="223" spans="1:8" s="30" customFormat="1" ht="16.5" customHeight="1" x14ac:dyDescent="0.2">
      <c r="A223" s="31"/>
      <c r="B223" s="267"/>
      <c r="C223" s="229"/>
      <c r="D223" s="39" t="s">
        <v>500</v>
      </c>
      <c r="E223" s="39" t="s">
        <v>501</v>
      </c>
      <c r="F223" s="39" t="s">
        <v>502</v>
      </c>
      <c r="G223" s="39" t="s">
        <v>503</v>
      </c>
      <c r="H223" s="263"/>
    </row>
    <row r="224" spans="1:8" s="30" customFormat="1" x14ac:dyDescent="0.2">
      <c r="A224" s="31"/>
      <c r="B224" s="39" t="s">
        <v>504</v>
      </c>
      <c r="C224" s="229"/>
      <c r="D224" s="229">
        <v>19</v>
      </c>
      <c r="E224" s="229">
        <f>D222*E222</f>
        <v>1</v>
      </c>
      <c r="F224" s="229">
        <f>F222*G222</f>
        <v>8.0000000000000016E-2</v>
      </c>
      <c r="G224" s="229">
        <v>0.2</v>
      </c>
      <c r="H224" s="263">
        <f>ROUND((G224/3)*(E224+F224+SQRT(E224*F224))*D224,2)</f>
        <v>1.73</v>
      </c>
    </row>
    <row r="225" spans="1:8" s="30" customFormat="1" x14ac:dyDescent="0.2">
      <c r="A225" s="31"/>
      <c r="B225" s="229" t="s">
        <v>505</v>
      </c>
      <c r="C225" s="229"/>
      <c r="D225" s="229">
        <v>19</v>
      </c>
      <c r="E225" s="229">
        <v>0.2</v>
      </c>
      <c r="F225" s="229">
        <v>0.4</v>
      </c>
      <c r="G225" s="229">
        <v>0.6</v>
      </c>
      <c r="H225" s="263">
        <f>ROUND(PRODUCT(D225:G225),2)</f>
        <v>0.91</v>
      </c>
    </row>
    <row r="226" spans="1:8" s="30" customFormat="1" x14ac:dyDescent="0.2">
      <c r="A226" s="31"/>
      <c r="B226" s="229"/>
      <c r="C226" s="38"/>
      <c r="D226" s="33"/>
      <c r="E226" s="33"/>
      <c r="F226" s="33"/>
      <c r="G226" s="33"/>
      <c r="H226" s="262"/>
    </row>
    <row r="227" spans="1:8" s="30" customFormat="1" x14ac:dyDescent="0.2">
      <c r="A227" s="31"/>
      <c r="B227" s="39" t="s">
        <v>295</v>
      </c>
      <c r="C227" s="38"/>
      <c r="D227" s="33">
        <v>10</v>
      </c>
      <c r="E227" s="33">
        <v>0.9</v>
      </c>
      <c r="F227" s="33">
        <v>0.9</v>
      </c>
      <c r="G227" s="33">
        <v>0.2</v>
      </c>
      <c r="H227" s="262">
        <f>ROUND(PRODUCT(D227:G227),2)</f>
        <v>1.62</v>
      </c>
    </row>
    <row r="228" spans="1:8" s="30" customFormat="1" ht="12" x14ac:dyDescent="0.2">
      <c r="A228" s="31"/>
      <c r="B228" s="261" t="s">
        <v>494</v>
      </c>
      <c r="C228" s="38"/>
      <c r="D228" s="33"/>
      <c r="E228" s="33"/>
      <c r="F228" s="33"/>
      <c r="G228" s="33"/>
      <c r="H228" s="262"/>
    </row>
    <row r="229" spans="1:8" s="30" customFormat="1" x14ac:dyDescent="0.2">
      <c r="A229" s="31"/>
      <c r="B229" s="229" t="s">
        <v>495</v>
      </c>
      <c r="C229" s="229"/>
      <c r="D229" s="39" t="s">
        <v>496</v>
      </c>
      <c r="E229" s="39" t="s">
        <v>497</v>
      </c>
      <c r="F229" s="39" t="s">
        <v>498</v>
      </c>
      <c r="G229" s="39" t="s">
        <v>499</v>
      </c>
      <c r="H229" s="264"/>
    </row>
    <row r="230" spans="1:8" s="30" customFormat="1" ht="13.5" customHeight="1" x14ac:dyDescent="0.2">
      <c r="A230" s="31"/>
      <c r="B230" s="266"/>
      <c r="C230" s="229"/>
      <c r="D230" s="262">
        <v>0.9</v>
      </c>
      <c r="E230" s="262">
        <v>0.9</v>
      </c>
      <c r="F230" s="263">
        <v>0.2</v>
      </c>
      <c r="G230" s="263">
        <v>0.4</v>
      </c>
      <c r="H230" s="263"/>
    </row>
    <row r="231" spans="1:8" s="30" customFormat="1" ht="15" customHeight="1" x14ac:dyDescent="0.2">
      <c r="A231" s="31"/>
      <c r="B231" s="267"/>
      <c r="C231" s="229"/>
      <c r="D231" s="39" t="s">
        <v>500</v>
      </c>
      <c r="E231" s="39" t="s">
        <v>501</v>
      </c>
      <c r="F231" s="39" t="s">
        <v>502</v>
      </c>
      <c r="G231" s="39" t="s">
        <v>503</v>
      </c>
      <c r="H231" s="263"/>
    </row>
    <row r="232" spans="1:8" s="30" customFormat="1" x14ac:dyDescent="0.2">
      <c r="A232" s="31"/>
      <c r="B232" s="39" t="s">
        <v>504</v>
      </c>
      <c r="C232" s="229"/>
      <c r="D232" s="229">
        <v>9</v>
      </c>
      <c r="E232" s="229">
        <f>D230*E230</f>
        <v>0.81</v>
      </c>
      <c r="F232" s="229">
        <f>F230*G230</f>
        <v>8.0000000000000016E-2</v>
      </c>
      <c r="G232" s="229">
        <v>0.2</v>
      </c>
      <c r="H232" s="263">
        <f>ROUND((G232/3)*(E232+F232+SQRT(E232*F232))*D232,2)</f>
        <v>0.69</v>
      </c>
    </row>
    <row r="233" spans="1:8" s="30" customFormat="1" x14ac:dyDescent="0.2">
      <c r="A233" s="31"/>
      <c r="B233" s="229" t="s">
        <v>505</v>
      </c>
      <c r="C233" s="229"/>
      <c r="D233" s="229">
        <v>9</v>
      </c>
      <c r="E233" s="229">
        <v>0.2</v>
      </c>
      <c r="F233" s="229">
        <v>0.3</v>
      </c>
      <c r="G233" s="229">
        <v>0.6</v>
      </c>
      <c r="H233" s="263">
        <f>ROUND(PRODUCT(D233:G233),2)</f>
        <v>0.32</v>
      </c>
    </row>
    <row r="234" spans="1:8" s="30" customFormat="1" x14ac:dyDescent="0.2">
      <c r="A234" s="31"/>
      <c r="B234" s="229"/>
      <c r="C234" s="38"/>
      <c r="D234" s="33"/>
      <c r="E234" s="33"/>
      <c r="F234" s="33"/>
      <c r="G234" s="33"/>
      <c r="H234" s="262"/>
    </row>
    <row r="235" spans="1:8" s="30" customFormat="1" x14ac:dyDescent="0.2">
      <c r="A235" s="31"/>
      <c r="B235" s="39" t="s">
        <v>296</v>
      </c>
      <c r="C235" s="38"/>
      <c r="D235" s="33">
        <v>4</v>
      </c>
      <c r="E235" s="33">
        <v>0.7</v>
      </c>
      <c r="F235" s="33">
        <v>0.7</v>
      </c>
      <c r="G235" s="33">
        <v>0.2</v>
      </c>
      <c r="H235" s="262">
        <f>ROUND(PRODUCT(D235:G235),2)</f>
        <v>0.39</v>
      </c>
    </row>
    <row r="236" spans="1:8" s="30" customFormat="1" ht="12" x14ac:dyDescent="0.2">
      <c r="A236" s="31"/>
      <c r="B236" s="261" t="s">
        <v>494</v>
      </c>
      <c r="C236" s="38"/>
      <c r="D236" s="33"/>
      <c r="E236" s="33"/>
      <c r="F236" s="33"/>
      <c r="G236" s="33"/>
      <c r="H236" s="262"/>
    </row>
    <row r="237" spans="1:8" s="30" customFormat="1" x14ac:dyDescent="0.2">
      <c r="A237" s="31"/>
      <c r="B237" s="229" t="s">
        <v>495</v>
      </c>
      <c r="C237" s="229"/>
      <c r="D237" s="39" t="s">
        <v>496</v>
      </c>
      <c r="E237" s="39" t="s">
        <v>497</v>
      </c>
      <c r="F237" s="39" t="s">
        <v>498</v>
      </c>
      <c r="G237" s="39" t="s">
        <v>499</v>
      </c>
      <c r="H237" s="264"/>
    </row>
    <row r="238" spans="1:8" s="30" customFormat="1" ht="15.75" customHeight="1" x14ac:dyDescent="0.2">
      <c r="A238" s="31"/>
      <c r="B238" s="266"/>
      <c r="C238" s="229"/>
      <c r="D238" s="262">
        <v>0.7</v>
      </c>
      <c r="E238" s="262">
        <v>0.7</v>
      </c>
      <c r="F238" s="263">
        <v>0.2</v>
      </c>
      <c r="G238" s="263">
        <v>0.4</v>
      </c>
      <c r="H238" s="263"/>
    </row>
    <row r="239" spans="1:8" s="30" customFormat="1" ht="16.5" customHeight="1" x14ac:dyDescent="0.2">
      <c r="A239" s="31"/>
      <c r="B239" s="267"/>
      <c r="C239" s="229"/>
      <c r="D239" s="39" t="s">
        <v>500</v>
      </c>
      <c r="E239" s="39" t="s">
        <v>501</v>
      </c>
      <c r="F239" s="39" t="s">
        <v>502</v>
      </c>
      <c r="G239" s="39" t="s">
        <v>503</v>
      </c>
      <c r="H239" s="263"/>
    </row>
    <row r="240" spans="1:8" s="30" customFormat="1" x14ac:dyDescent="0.2">
      <c r="A240" s="31"/>
      <c r="B240" s="39" t="s">
        <v>504</v>
      </c>
      <c r="C240" s="229"/>
      <c r="D240" s="229">
        <v>4</v>
      </c>
      <c r="E240" s="229">
        <f>D238*E238</f>
        <v>0.48999999999999994</v>
      </c>
      <c r="F240" s="229">
        <f>F238*G238</f>
        <v>8.0000000000000016E-2</v>
      </c>
      <c r="G240" s="229">
        <v>0.2</v>
      </c>
      <c r="H240" s="263">
        <f>ROUND((G240/3)*(E240+F240+SQRT(E240*F240))*D240,2)</f>
        <v>0.2</v>
      </c>
    </row>
    <row r="241" spans="1:8" s="30" customFormat="1" x14ac:dyDescent="0.2">
      <c r="A241" s="31"/>
      <c r="B241" s="229" t="s">
        <v>505</v>
      </c>
      <c r="C241" s="229"/>
      <c r="D241" s="229">
        <v>4</v>
      </c>
      <c r="E241" s="229">
        <v>0.15</v>
      </c>
      <c r="F241" s="229">
        <v>0.3</v>
      </c>
      <c r="G241" s="229">
        <v>0.8</v>
      </c>
      <c r="H241" s="263">
        <f>ROUND(PRODUCT(D241:G241),2)</f>
        <v>0.14000000000000001</v>
      </c>
    </row>
    <row r="242" spans="1:8" s="30" customFormat="1" x14ac:dyDescent="0.2">
      <c r="A242" s="31"/>
      <c r="B242" s="39" t="s">
        <v>318</v>
      </c>
      <c r="C242" s="38"/>
      <c r="D242" s="33"/>
      <c r="E242" s="33"/>
      <c r="F242" s="33"/>
      <c r="G242" s="33"/>
      <c r="H242" s="262"/>
    </row>
    <row r="243" spans="1:8" s="30" customFormat="1" x14ac:dyDescent="0.2">
      <c r="A243" s="31"/>
      <c r="B243" s="229" t="s">
        <v>301</v>
      </c>
      <c r="C243" s="38"/>
      <c r="D243" s="33"/>
      <c r="E243" s="33">
        <v>13.85</v>
      </c>
      <c r="F243" s="33">
        <v>0.2</v>
      </c>
      <c r="G243" s="33">
        <v>0.4</v>
      </c>
      <c r="H243" s="263">
        <f>ROUND(PRODUCT(D243:G243),2)</f>
        <v>1.1100000000000001</v>
      </c>
    </row>
    <row r="244" spans="1:8" s="30" customFormat="1" x14ac:dyDescent="0.2">
      <c r="A244" s="31"/>
      <c r="B244" s="229" t="s">
        <v>302</v>
      </c>
      <c r="C244" s="38"/>
      <c r="D244" s="33"/>
      <c r="E244" s="33">
        <v>13.85</v>
      </c>
      <c r="F244" s="33">
        <v>0.2</v>
      </c>
      <c r="G244" s="33">
        <v>0.4</v>
      </c>
      <c r="H244" s="263">
        <f t="shared" ref="H244:H256" si="9">ROUND(PRODUCT(D244:G244),2)</f>
        <v>1.1100000000000001</v>
      </c>
    </row>
    <row r="245" spans="1:8" s="30" customFormat="1" x14ac:dyDescent="0.2">
      <c r="A245" s="31"/>
      <c r="B245" s="229" t="s">
        <v>303</v>
      </c>
      <c r="C245" s="38"/>
      <c r="D245" s="33"/>
      <c r="E245" s="33">
        <v>13.85</v>
      </c>
      <c r="F245" s="33">
        <v>0.2</v>
      </c>
      <c r="G245" s="33">
        <v>0.4</v>
      </c>
      <c r="H245" s="263">
        <f t="shared" si="9"/>
        <v>1.1100000000000001</v>
      </c>
    </row>
    <row r="246" spans="1:8" s="30" customFormat="1" x14ac:dyDescent="0.2">
      <c r="A246" s="31"/>
      <c r="B246" s="229" t="s">
        <v>304</v>
      </c>
      <c r="C246" s="38"/>
      <c r="D246" s="33"/>
      <c r="E246" s="33">
        <f>6.85+6.8+6.85</f>
        <v>20.5</v>
      </c>
      <c r="F246" s="33">
        <v>0.2</v>
      </c>
      <c r="G246" s="33">
        <v>0.4</v>
      </c>
      <c r="H246" s="263">
        <f t="shared" si="9"/>
        <v>1.64</v>
      </c>
    </row>
    <row r="247" spans="1:8" s="30" customFormat="1" x14ac:dyDescent="0.2">
      <c r="A247" s="31"/>
      <c r="B247" s="229" t="s">
        <v>305</v>
      </c>
      <c r="C247" s="38"/>
      <c r="D247" s="33"/>
      <c r="E247" s="33">
        <f>6.85+6.8+6.85</f>
        <v>20.5</v>
      </c>
      <c r="F247" s="33">
        <v>0.2</v>
      </c>
      <c r="G247" s="33">
        <v>0.4</v>
      </c>
      <c r="H247" s="263">
        <f t="shared" si="9"/>
        <v>1.64</v>
      </c>
    </row>
    <row r="248" spans="1:8" s="30" customFormat="1" x14ac:dyDescent="0.2">
      <c r="A248" s="31"/>
      <c r="B248" s="229" t="s">
        <v>306</v>
      </c>
      <c r="C248" s="38"/>
      <c r="D248" s="33"/>
      <c r="E248" s="33">
        <v>13.7</v>
      </c>
      <c r="F248" s="33">
        <v>0.2</v>
      </c>
      <c r="G248" s="33">
        <v>0.4</v>
      </c>
      <c r="H248" s="263">
        <f t="shared" si="9"/>
        <v>1.1000000000000001</v>
      </c>
    </row>
    <row r="249" spans="1:8" s="30" customFormat="1" x14ac:dyDescent="0.2">
      <c r="A249" s="31"/>
      <c r="B249" s="229" t="s">
        <v>307</v>
      </c>
      <c r="C249" s="38"/>
      <c r="D249" s="33"/>
      <c r="E249" s="33">
        <v>13.7</v>
      </c>
      <c r="F249" s="33">
        <v>0.2</v>
      </c>
      <c r="G249" s="33">
        <v>0.4</v>
      </c>
      <c r="H249" s="263">
        <f t="shared" si="9"/>
        <v>1.1000000000000001</v>
      </c>
    </row>
    <row r="250" spans="1:8" s="30" customFormat="1" x14ac:dyDescent="0.2">
      <c r="A250" s="31"/>
      <c r="B250" s="229" t="s">
        <v>308</v>
      </c>
      <c r="C250" s="38"/>
      <c r="D250" s="33"/>
      <c r="E250" s="33">
        <v>14.24</v>
      </c>
      <c r="F250" s="33">
        <v>0.2</v>
      </c>
      <c r="G250" s="33">
        <v>0.4</v>
      </c>
      <c r="H250" s="263">
        <f t="shared" si="9"/>
        <v>1.1399999999999999</v>
      </c>
    </row>
    <row r="251" spans="1:8" s="30" customFormat="1" x14ac:dyDescent="0.2">
      <c r="A251" s="31"/>
      <c r="B251" s="229" t="s">
        <v>309</v>
      </c>
      <c r="C251" s="38"/>
      <c r="D251" s="33"/>
      <c r="E251" s="33">
        <v>1.9</v>
      </c>
      <c r="F251" s="33">
        <v>0.15</v>
      </c>
      <c r="G251" s="33">
        <v>0.4</v>
      </c>
      <c r="H251" s="263">
        <f t="shared" si="9"/>
        <v>0.11</v>
      </c>
    </row>
    <row r="252" spans="1:8" s="30" customFormat="1" x14ac:dyDescent="0.2">
      <c r="A252" s="31"/>
      <c r="B252" s="229" t="s">
        <v>310</v>
      </c>
      <c r="C252" s="38"/>
      <c r="D252" s="33"/>
      <c r="E252" s="33">
        <v>24.85</v>
      </c>
      <c r="F252" s="33">
        <v>0.2</v>
      </c>
      <c r="G252" s="33">
        <v>0.4</v>
      </c>
      <c r="H252" s="263">
        <f t="shared" si="9"/>
        <v>1.99</v>
      </c>
    </row>
    <row r="253" spans="1:8" s="30" customFormat="1" x14ac:dyDescent="0.2">
      <c r="A253" s="31"/>
      <c r="B253" s="229" t="s">
        <v>311</v>
      </c>
      <c r="C253" s="38"/>
      <c r="D253" s="33"/>
      <c r="E253" s="33">
        <v>1.9</v>
      </c>
      <c r="F253" s="33">
        <v>0.15</v>
      </c>
      <c r="G253" s="33">
        <v>0.4</v>
      </c>
      <c r="H253" s="263">
        <f t="shared" si="9"/>
        <v>0.11</v>
      </c>
    </row>
    <row r="254" spans="1:8" s="30" customFormat="1" x14ac:dyDescent="0.2">
      <c r="A254" s="31"/>
      <c r="B254" s="229" t="s">
        <v>312</v>
      </c>
      <c r="C254" s="38"/>
      <c r="D254" s="33"/>
      <c r="E254" s="33">
        <v>24.85</v>
      </c>
      <c r="F254" s="33">
        <v>0.2</v>
      </c>
      <c r="G254" s="33">
        <v>0.4</v>
      </c>
      <c r="H254" s="263">
        <f t="shared" si="9"/>
        <v>1.99</v>
      </c>
    </row>
    <row r="255" spans="1:8" s="30" customFormat="1" x14ac:dyDescent="0.2">
      <c r="A255" s="31"/>
      <c r="B255" s="229" t="s">
        <v>313</v>
      </c>
      <c r="C255" s="38"/>
      <c r="D255" s="33"/>
      <c r="E255" s="33">
        <v>1.9</v>
      </c>
      <c r="F255" s="33">
        <v>0.15</v>
      </c>
      <c r="G255" s="33">
        <v>0.4</v>
      </c>
      <c r="H255" s="263">
        <f t="shared" si="9"/>
        <v>0.11</v>
      </c>
    </row>
    <row r="256" spans="1:8" s="30" customFormat="1" x14ac:dyDescent="0.2">
      <c r="A256" s="31"/>
      <c r="B256" s="229" t="s">
        <v>314</v>
      </c>
      <c r="C256" s="38"/>
      <c r="D256" s="33"/>
      <c r="E256" s="33">
        <v>11.65</v>
      </c>
      <c r="F256" s="33">
        <v>0.2</v>
      </c>
      <c r="G256" s="33">
        <v>0.4</v>
      </c>
      <c r="H256" s="263">
        <f t="shared" si="9"/>
        <v>0.93</v>
      </c>
    </row>
    <row r="257" spans="1:8" s="30" customFormat="1" x14ac:dyDescent="0.2">
      <c r="A257" s="31"/>
      <c r="B257" s="39" t="str">
        <f>"Total item "&amp;A218</f>
        <v>Total item 4.6</v>
      </c>
      <c r="C257" s="38"/>
      <c r="D257" s="33"/>
      <c r="E257" s="33"/>
      <c r="F257" s="33"/>
      <c r="G257" s="33"/>
      <c r="H257" s="19">
        <f>SUM(H219:H256)</f>
        <v>24.989999999999995</v>
      </c>
    </row>
    <row r="258" spans="1:8" s="30" customFormat="1" x14ac:dyDescent="0.2">
      <c r="A258" s="31"/>
      <c r="B258" s="223"/>
      <c r="C258" s="32"/>
      <c r="D258" s="224"/>
      <c r="E258" s="224"/>
      <c r="F258" s="224"/>
      <c r="G258" s="224"/>
      <c r="H258" s="224"/>
    </row>
    <row r="259" spans="1:8" s="30" customFormat="1" ht="33.75" x14ac:dyDescent="0.2">
      <c r="A259" s="225" t="s">
        <v>448</v>
      </c>
      <c r="B259" s="243" t="s">
        <v>278</v>
      </c>
      <c r="C259" s="227" t="s">
        <v>106</v>
      </c>
      <c r="D259" s="19"/>
      <c r="E259" s="19"/>
      <c r="F259" s="19"/>
      <c r="G259" s="19"/>
      <c r="H259" s="19"/>
    </row>
    <row r="260" spans="1:8" s="30" customFormat="1" x14ac:dyDescent="0.2">
      <c r="A260" s="31"/>
      <c r="B260" s="229" t="s">
        <v>275</v>
      </c>
      <c r="C260" s="38"/>
      <c r="D260" s="33"/>
      <c r="E260" s="33">
        <f>H257</f>
        <v>24.989999999999995</v>
      </c>
      <c r="F260" s="33"/>
      <c r="G260" s="33"/>
      <c r="H260" s="33">
        <f>ROUND(PRODUCT(D260:G260),2)</f>
        <v>24.99</v>
      </c>
    </row>
    <row r="261" spans="1:8" s="30" customFormat="1" x14ac:dyDescent="0.2">
      <c r="A261" s="31"/>
      <c r="B261" s="39" t="str">
        <f>"Total item "&amp;A259</f>
        <v>Total item 4.7</v>
      </c>
      <c r="C261" s="38"/>
      <c r="D261" s="33"/>
      <c r="E261" s="33"/>
      <c r="F261" s="33"/>
      <c r="G261" s="33"/>
      <c r="H261" s="19">
        <f>SUM(H260:H260)</f>
        <v>24.99</v>
      </c>
    </row>
    <row r="262" spans="1:8" s="30" customFormat="1" x14ac:dyDescent="0.2">
      <c r="A262" s="31"/>
      <c r="B262" s="223"/>
      <c r="C262" s="32"/>
      <c r="D262" s="224"/>
      <c r="E262" s="224"/>
      <c r="F262" s="224"/>
      <c r="G262" s="224"/>
      <c r="H262" s="224"/>
    </row>
    <row r="263" spans="1:8" s="30" customFormat="1" x14ac:dyDescent="0.2">
      <c r="A263" s="213" t="s">
        <v>171</v>
      </c>
      <c r="B263" s="215" t="s">
        <v>38</v>
      </c>
      <c r="C263" s="216"/>
      <c r="D263" s="217"/>
      <c r="E263" s="217"/>
      <c r="F263" s="217"/>
      <c r="G263" s="217"/>
      <c r="H263" s="217"/>
    </row>
    <row r="264" spans="1:8" s="30" customFormat="1" x14ac:dyDescent="0.2">
      <c r="A264" s="31"/>
      <c r="B264" s="223"/>
      <c r="C264" s="32"/>
      <c r="D264" s="224"/>
      <c r="E264" s="224"/>
      <c r="F264" s="224"/>
      <c r="G264" s="224"/>
      <c r="H264" s="224"/>
    </row>
    <row r="265" spans="1:8" s="30" customFormat="1" ht="45" x14ac:dyDescent="0.2">
      <c r="A265" s="225" t="s">
        <v>15</v>
      </c>
      <c r="B265" s="243" t="s">
        <v>280</v>
      </c>
      <c r="C265" s="227" t="s">
        <v>101</v>
      </c>
      <c r="D265" s="241"/>
      <c r="E265" s="241" t="s">
        <v>321</v>
      </c>
      <c r="F265" s="241"/>
      <c r="G265" s="19"/>
      <c r="H265" s="19"/>
    </row>
    <row r="266" spans="1:8" s="30" customFormat="1" x14ac:dyDescent="0.2">
      <c r="A266" s="31"/>
      <c r="B266" s="39" t="s">
        <v>507</v>
      </c>
      <c r="C266" s="38"/>
      <c r="D266" s="33"/>
      <c r="E266" s="33"/>
      <c r="F266" s="33"/>
      <c r="G266" s="33"/>
      <c r="H266" s="33"/>
    </row>
    <row r="267" spans="1:8" s="30" customFormat="1" x14ac:dyDescent="0.2">
      <c r="A267" s="31"/>
      <c r="B267" s="229" t="s">
        <v>556</v>
      </c>
      <c r="C267" s="38"/>
      <c r="D267" s="33">
        <v>8</v>
      </c>
      <c r="E267" s="33">
        <v>0.2</v>
      </c>
      <c r="F267" s="33">
        <v>0.3</v>
      </c>
      <c r="G267" s="33">
        <v>6.08</v>
      </c>
      <c r="H267" s="33">
        <f>ROUND(((E267+E267+F267+F267)*G267)*D267,2)</f>
        <v>48.64</v>
      </c>
    </row>
    <row r="268" spans="1:8" s="30" customFormat="1" x14ac:dyDescent="0.2">
      <c r="A268" s="31"/>
      <c r="B268" s="229" t="s">
        <v>542</v>
      </c>
      <c r="C268" s="38"/>
      <c r="D268" s="33">
        <v>2</v>
      </c>
      <c r="E268" s="33">
        <v>0.2</v>
      </c>
      <c r="F268" s="33">
        <v>0.3</v>
      </c>
      <c r="G268" s="33">
        <v>2.78</v>
      </c>
      <c r="H268" s="33">
        <f>ROUND(((E268+E268+F268+F268)*G268)*D268,2)</f>
        <v>5.56</v>
      </c>
    </row>
    <row r="269" spans="1:8" s="30" customFormat="1" x14ac:dyDescent="0.2">
      <c r="A269" s="31"/>
      <c r="B269" s="39" t="s">
        <v>508</v>
      </c>
      <c r="C269" s="38"/>
      <c r="D269" s="33"/>
      <c r="E269" s="33"/>
      <c r="F269" s="33"/>
      <c r="G269" s="33"/>
      <c r="H269" s="33"/>
    </row>
    <row r="270" spans="1:8" s="30" customFormat="1" x14ac:dyDescent="0.2">
      <c r="A270" s="31"/>
      <c r="B270" s="229" t="s">
        <v>557</v>
      </c>
      <c r="C270" s="38"/>
      <c r="D270" s="33">
        <v>4</v>
      </c>
      <c r="E270" s="33">
        <v>0.15</v>
      </c>
      <c r="F270" s="33">
        <v>0.3</v>
      </c>
      <c r="G270" s="33">
        <v>6.08</v>
      </c>
      <c r="H270" s="33">
        <f>ROUND(((E270+E270+F270+F270)*G270)*D270,2)</f>
        <v>21.89</v>
      </c>
    </row>
    <row r="271" spans="1:8" s="30" customFormat="1" x14ac:dyDescent="0.2">
      <c r="A271" s="31"/>
      <c r="B271" s="39" t="s">
        <v>506</v>
      </c>
      <c r="C271" s="38"/>
      <c r="D271" s="33"/>
      <c r="E271" s="33"/>
      <c r="F271" s="33"/>
      <c r="G271" s="33"/>
      <c r="H271" s="33"/>
    </row>
    <row r="272" spans="1:8" s="30" customFormat="1" x14ac:dyDescent="0.2">
      <c r="A272" s="31"/>
      <c r="B272" s="229" t="s">
        <v>558</v>
      </c>
      <c r="C272" s="38"/>
      <c r="D272" s="33">
        <v>9</v>
      </c>
      <c r="E272" s="33">
        <v>0.2</v>
      </c>
      <c r="F272" s="33">
        <v>0.4</v>
      </c>
      <c r="G272" s="33">
        <v>6.08</v>
      </c>
      <c r="H272" s="33">
        <f>ROUND(((E272+E272+F272+F272)*G272)*D272,2)</f>
        <v>65.66</v>
      </c>
    </row>
    <row r="273" spans="1:8" s="30" customFormat="1" x14ac:dyDescent="0.2">
      <c r="A273" s="31"/>
      <c r="B273" s="229" t="s">
        <v>543</v>
      </c>
      <c r="C273" s="38"/>
      <c r="D273" s="33">
        <v>1</v>
      </c>
      <c r="E273" s="33">
        <v>0.2</v>
      </c>
      <c r="F273" s="33">
        <v>0.4</v>
      </c>
      <c r="G273" s="33">
        <v>2.78</v>
      </c>
      <c r="H273" s="33">
        <f>ROUND(((E273+E273+F273+F273)*G273)*D273,2)</f>
        <v>3.34</v>
      </c>
    </row>
    <row r="274" spans="1:8" s="30" customFormat="1" ht="12.75" customHeight="1" x14ac:dyDescent="0.2">
      <c r="A274" s="31"/>
      <c r="B274" s="39" t="s">
        <v>509</v>
      </c>
      <c r="C274" s="38"/>
      <c r="D274" s="33"/>
      <c r="E274" s="33"/>
      <c r="F274" s="33"/>
      <c r="G274" s="33"/>
      <c r="H274" s="33"/>
    </row>
    <row r="275" spans="1:8" s="30" customFormat="1" x14ac:dyDescent="0.2">
      <c r="A275" s="31"/>
      <c r="B275" s="229" t="s">
        <v>560</v>
      </c>
      <c r="C275" s="38"/>
      <c r="D275" s="33">
        <v>4</v>
      </c>
      <c r="E275" s="33">
        <v>0.2</v>
      </c>
      <c r="F275" s="33">
        <v>0.5</v>
      </c>
      <c r="G275" s="33">
        <v>2.78</v>
      </c>
      <c r="H275" s="33">
        <f>ROUND(((E275+E275+F275+F275)*G275)*D275,2)</f>
        <v>15.57</v>
      </c>
    </row>
    <row r="276" spans="1:8" s="30" customFormat="1" x14ac:dyDescent="0.2">
      <c r="A276" s="31"/>
      <c r="B276" s="229" t="s">
        <v>559</v>
      </c>
      <c r="C276" s="38"/>
      <c r="D276" s="33">
        <v>5</v>
      </c>
      <c r="E276" s="33">
        <v>0.2</v>
      </c>
      <c r="F276" s="33">
        <v>0.5</v>
      </c>
      <c r="G276" s="33">
        <v>6.08</v>
      </c>
      <c r="H276" s="33">
        <f>ROUND(((E276+E276+F276+F276)*G276)*D276,2)</f>
        <v>42.56</v>
      </c>
    </row>
    <row r="277" spans="1:8" s="30" customFormat="1" x14ac:dyDescent="0.2">
      <c r="A277" s="31"/>
      <c r="B277" s="39" t="str">
        <f>"Total item "&amp;A265</f>
        <v>Total item 5.1</v>
      </c>
      <c r="C277" s="38"/>
      <c r="D277" s="33"/>
      <c r="E277" s="33"/>
      <c r="F277" s="33"/>
      <c r="G277" s="33"/>
      <c r="H277" s="19">
        <f>SUM(H266:H276)</f>
        <v>203.22</v>
      </c>
    </row>
    <row r="278" spans="1:8" s="30" customFormat="1" x14ac:dyDescent="0.2">
      <c r="A278" s="31"/>
      <c r="B278" s="223"/>
      <c r="C278" s="32"/>
      <c r="D278" s="224"/>
      <c r="E278" s="224"/>
      <c r="F278" s="224"/>
      <c r="G278" s="224"/>
      <c r="H278" s="224"/>
    </row>
    <row r="279" spans="1:8" s="30" customFormat="1" ht="45" x14ac:dyDescent="0.2">
      <c r="A279" s="225" t="s">
        <v>197</v>
      </c>
      <c r="B279" s="243" t="s">
        <v>281</v>
      </c>
      <c r="C279" s="227" t="s">
        <v>101</v>
      </c>
      <c r="D279" s="19"/>
      <c r="E279" s="19"/>
      <c r="F279" s="19"/>
      <c r="G279" s="19"/>
      <c r="H279" s="19"/>
    </row>
    <row r="280" spans="1:8" s="30" customFormat="1" x14ac:dyDescent="0.2">
      <c r="A280" s="31"/>
      <c r="B280" s="229" t="s">
        <v>320</v>
      </c>
      <c r="C280" s="38"/>
      <c r="D280" s="33"/>
      <c r="E280" s="33"/>
      <c r="F280" s="33"/>
      <c r="G280" s="33"/>
      <c r="H280" s="33"/>
    </row>
    <row r="281" spans="1:8" s="30" customFormat="1" x14ac:dyDescent="0.2">
      <c r="A281" s="31"/>
      <c r="B281" s="229" t="s">
        <v>394</v>
      </c>
      <c r="C281" s="38"/>
      <c r="D281" s="33">
        <v>1</v>
      </c>
      <c r="E281" s="33">
        <v>13.85</v>
      </c>
      <c r="F281" s="33">
        <v>0.2</v>
      </c>
      <c r="G281" s="33">
        <v>0.4</v>
      </c>
      <c r="H281" s="33">
        <f>ROUND(((G281+G281+F281)*E281)*D281,2)</f>
        <v>13.85</v>
      </c>
    </row>
    <row r="282" spans="1:8" s="30" customFormat="1" x14ac:dyDescent="0.2">
      <c r="A282" s="31"/>
      <c r="B282" s="229" t="s">
        <v>395</v>
      </c>
      <c r="C282" s="38"/>
      <c r="D282" s="33">
        <v>1</v>
      </c>
      <c r="E282" s="33">
        <v>13.85</v>
      </c>
      <c r="F282" s="33">
        <v>0.2</v>
      </c>
      <c r="G282" s="33">
        <v>0.5</v>
      </c>
      <c r="H282" s="33">
        <f t="shared" ref="H282:H302" si="10">ROUND(((G282+G282+F282)*E282)*D282,2)</f>
        <v>16.62</v>
      </c>
    </row>
    <row r="283" spans="1:8" s="30" customFormat="1" x14ac:dyDescent="0.2">
      <c r="A283" s="31"/>
      <c r="B283" s="229" t="s">
        <v>396</v>
      </c>
      <c r="C283" s="38"/>
      <c r="D283" s="33">
        <v>1</v>
      </c>
      <c r="E283" s="33">
        <v>13.85</v>
      </c>
      <c r="F283" s="33">
        <v>0.2</v>
      </c>
      <c r="G283" s="33">
        <v>0.6</v>
      </c>
      <c r="H283" s="33">
        <f t="shared" si="10"/>
        <v>19.39</v>
      </c>
    </row>
    <row r="284" spans="1:8" s="30" customFormat="1" x14ac:dyDescent="0.2">
      <c r="A284" s="31"/>
      <c r="B284" s="229" t="s">
        <v>397</v>
      </c>
      <c r="C284" s="38"/>
      <c r="D284" s="33">
        <v>1</v>
      </c>
      <c r="E284" s="33">
        <f>6.85+6.8+6.85</f>
        <v>20.5</v>
      </c>
      <c r="F284" s="33">
        <v>0.2</v>
      </c>
      <c r="G284" s="33">
        <v>0.5</v>
      </c>
      <c r="H284" s="33">
        <f t="shared" si="10"/>
        <v>24.6</v>
      </c>
    </row>
    <row r="285" spans="1:8" s="30" customFormat="1" x14ac:dyDescent="0.2">
      <c r="A285" s="31"/>
      <c r="B285" s="229" t="s">
        <v>398</v>
      </c>
      <c r="C285" s="38"/>
      <c r="D285" s="33">
        <v>1</v>
      </c>
      <c r="E285" s="33">
        <f>6.85+6.8+6.85</f>
        <v>20.5</v>
      </c>
      <c r="F285" s="33">
        <v>0.2</v>
      </c>
      <c r="G285" s="33">
        <v>0.4</v>
      </c>
      <c r="H285" s="33">
        <f t="shared" si="10"/>
        <v>20.5</v>
      </c>
    </row>
    <row r="286" spans="1:8" s="30" customFormat="1" x14ac:dyDescent="0.2">
      <c r="A286" s="31"/>
      <c r="B286" s="229" t="s">
        <v>399</v>
      </c>
      <c r="C286" s="38"/>
      <c r="D286" s="33">
        <v>1</v>
      </c>
      <c r="E286" s="33">
        <v>13.7</v>
      </c>
      <c r="F286" s="33">
        <v>0.2</v>
      </c>
      <c r="G286" s="33">
        <v>0.4</v>
      </c>
      <c r="H286" s="33">
        <f t="shared" si="10"/>
        <v>13.7</v>
      </c>
    </row>
    <row r="287" spans="1:8" s="30" customFormat="1" x14ac:dyDescent="0.2">
      <c r="A287" s="31"/>
      <c r="B287" s="229" t="s">
        <v>400</v>
      </c>
      <c r="C287" s="38"/>
      <c r="D287" s="33">
        <v>1</v>
      </c>
      <c r="E287" s="33">
        <v>13.7</v>
      </c>
      <c r="F287" s="33">
        <v>0.2</v>
      </c>
      <c r="G287" s="33">
        <v>0.4</v>
      </c>
      <c r="H287" s="33">
        <f>ROUND(((G287+G287+F287)*E287)*D287,2)</f>
        <v>13.7</v>
      </c>
    </row>
    <row r="288" spans="1:8" s="30" customFormat="1" x14ac:dyDescent="0.2">
      <c r="A288" s="31"/>
      <c r="B288" s="229" t="s">
        <v>401</v>
      </c>
      <c r="C288" s="38"/>
      <c r="D288" s="33">
        <v>1</v>
      </c>
      <c r="E288" s="33">
        <v>14.24</v>
      </c>
      <c r="F288" s="33">
        <v>0.2</v>
      </c>
      <c r="G288" s="33">
        <v>0.4</v>
      </c>
      <c r="H288" s="33">
        <f t="shared" si="10"/>
        <v>14.24</v>
      </c>
    </row>
    <row r="289" spans="1:8" s="30" customFormat="1" x14ac:dyDescent="0.2">
      <c r="A289" s="31"/>
      <c r="B289" s="229" t="s">
        <v>402</v>
      </c>
      <c r="C289" s="38"/>
      <c r="D289" s="33">
        <v>1</v>
      </c>
      <c r="E289" s="33">
        <v>1.9</v>
      </c>
      <c r="F289" s="33">
        <v>0.15</v>
      </c>
      <c r="G289" s="33">
        <v>0.4</v>
      </c>
      <c r="H289" s="33">
        <f t="shared" si="10"/>
        <v>1.81</v>
      </c>
    </row>
    <row r="290" spans="1:8" s="30" customFormat="1" x14ac:dyDescent="0.2">
      <c r="A290" s="31"/>
      <c r="B290" s="229" t="s">
        <v>403</v>
      </c>
      <c r="C290" s="38"/>
      <c r="D290" s="33">
        <v>1</v>
      </c>
      <c r="E290" s="33">
        <v>24.85</v>
      </c>
      <c r="F290" s="33">
        <v>0.2</v>
      </c>
      <c r="G290" s="33">
        <v>0.4</v>
      </c>
      <c r="H290" s="33">
        <f t="shared" si="10"/>
        <v>24.85</v>
      </c>
    </row>
    <row r="291" spans="1:8" s="30" customFormat="1" x14ac:dyDescent="0.2">
      <c r="A291" s="31"/>
      <c r="B291" s="229" t="s">
        <v>404</v>
      </c>
      <c r="C291" s="38"/>
      <c r="D291" s="33">
        <v>1</v>
      </c>
      <c r="E291" s="33">
        <v>1.9</v>
      </c>
      <c r="F291" s="33">
        <v>0.15</v>
      </c>
      <c r="G291" s="33">
        <v>0.4</v>
      </c>
      <c r="H291" s="33">
        <f t="shared" si="10"/>
        <v>1.81</v>
      </c>
    </row>
    <row r="292" spans="1:8" s="30" customFormat="1" x14ac:dyDescent="0.2">
      <c r="A292" s="31"/>
      <c r="B292" s="229" t="s">
        <v>405</v>
      </c>
      <c r="C292" s="38"/>
      <c r="D292" s="33">
        <v>1</v>
      </c>
      <c r="E292" s="33">
        <v>24.85</v>
      </c>
      <c r="F292" s="33">
        <v>0.2</v>
      </c>
      <c r="G292" s="33">
        <v>0.4</v>
      </c>
      <c r="H292" s="33">
        <f t="shared" si="10"/>
        <v>24.85</v>
      </c>
    </row>
    <row r="293" spans="1:8" s="30" customFormat="1" x14ac:dyDescent="0.2">
      <c r="A293" s="31"/>
      <c r="B293" s="229" t="s">
        <v>406</v>
      </c>
      <c r="C293" s="38"/>
      <c r="D293" s="33">
        <v>1</v>
      </c>
      <c r="E293" s="33">
        <v>1.9</v>
      </c>
      <c r="F293" s="33">
        <v>0.15</v>
      </c>
      <c r="G293" s="33">
        <v>0.4</v>
      </c>
      <c r="H293" s="33">
        <f t="shared" si="10"/>
        <v>1.81</v>
      </c>
    </row>
    <row r="294" spans="1:8" s="30" customFormat="1" x14ac:dyDescent="0.2">
      <c r="A294" s="31"/>
      <c r="B294" s="229" t="s">
        <v>407</v>
      </c>
      <c r="C294" s="38"/>
      <c r="D294" s="33">
        <v>1</v>
      </c>
      <c r="E294" s="33">
        <v>11.65</v>
      </c>
      <c r="F294" s="33">
        <v>0.2</v>
      </c>
      <c r="G294" s="33">
        <v>0.4</v>
      </c>
      <c r="H294" s="33">
        <f t="shared" si="10"/>
        <v>11.65</v>
      </c>
    </row>
    <row r="295" spans="1:8" s="30" customFormat="1" x14ac:dyDescent="0.2">
      <c r="A295" s="31"/>
      <c r="B295" s="229" t="s">
        <v>408</v>
      </c>
      <c r="C295" s="38"/>
      <c r="D295" s="33">
        <v>1</v>
      </c>
      <c r="E295" s="33">
        <v>13.85</v>
      </c>
      <c r="F295" s="33">
        <v>0.2</v>
      </c>
      <c r="G295" s="33">
        <v>0.4</v>
      </c>
      <c r="H295" s="33">
        <f t="shared" si="10"/>
        <v>13.85</v>
      </c>
    </row>
    <row r="296" spans="1:8" s="30" customFormat="1" x14ac:dyDescent="0.2">
      <c r="A296" s="31"/>
      <c r="B296" s="229" t="s">
        <v>409</v>
      </c>
      <c r="C296" s="38"/>
      <c r="D296" s="33">
        <v>1</v>
      </c>
      <c r="E296" s="33">
        <f>6.85+6.8+6.85</f>
        <v>20.5</v>
      </c>
      <c r="F296" s="33">
        <v>0.2</v>
      </c>
      <c r="G296" s="33">
        <v>0.5</v>
      </c>
      <c r="H296" s="33">
        <f t="shared" si="10"/>
        <v>24.6</v>
      </c>
    </row>
    <row r="297" spans="1:8" s="30" customFormat="1" x14ac:dyDescent="0.2">
      <c r="A297" s="31"/>
      <c r="B297" s="229" t="s">
        <v>410</v>
      </c>
      <c r="C297" s="38"/>
      <c r="D297" s="33">
        <v>1</v>
      </c>
      <c r="E297" s="33">
        <v>13.85</v>
      </c>
      <c r="F297" s="33">
        <v>0.2</v>
      </c>
      <c r="G297" s="33">
        <v>0.4</v>
      </c>
      <c r="H297" s="33">
        <f t="shared" si="10"/>
        <v>13.85</v>
      </c>
    </row>
    <row r="298" spans="1:8" s="30" customFormat="1" x14ac:dyDescent="0.2">
      <c r="A298" s="31"/>
      <c r="B298" s="229" t="s">
        <v>411</v>
      </c>
      <c r="C298" s="38"/>
      <c r="D298" s="33">
        <v>1</v>
      </c>
      <c r="E298" s="33">
        <v>1.55</v>
      </c>
      <c r="F298" s="33">
        <v>0.15</v>
      </c>
      <c r="G298" s="33">
        <v>0.4</v>
      </c>
      <c r="H298" s="33">
        <f t="shared" si="10"/>
        <v>1.47</v>
      </c>
    </row>
    <row r="299" spans="1:8" s="30" customFormat="1" x14ac:dyDescent="0.2">
      <c r="A299" s="31"/>
      <c r="B299" s="229" t="s">
        <v>412</v>
      </c>
      <c r="C299" s="38"/>
      <c r="D299" s="33">
        <v>1</v>
      </c>
      <c r="E299" s="33">
        <v>1.55</v>
      </c>
      <c r="F299" s="33">
        <v>0.2</v>
      </c>
      <c r="G299" s="33">
        <v>0.4</v>
      </c>
      <c r="H299" s="33">
        <f t="shared" si="10"/>
        <v>1.55</v>
      </c>
    </row>
    <row r="300" spans="1:8" s="30" customFormat="1" x14ac:dyDescent="0.2">
      <c r="A300" s="31"/>
      <c r="B300" s="229" t="s">
        <v>413</v>
      </c>
      <c r="C300" s="38"/>
      <c r="D300" s="33">
        <v>1</v>
      </c>
      <c r="E300" s="33">
        <v>1.55</v>
      </c>
      <c r="F300" s="33">
        <v>0.15</v>
      </c>
      <c r="G300" s="33">
        <v>0.4</v>
      </c>
      <c r="H300" s="33">
        <f t="shared" si="10"/>
        <v>1.47</v>
      </c>
    </row>
    <row r="301" spans="1:8" s="30" customFormat="1" x14ac:dyDescent="0.2">
      <c r="A301" s="31"/>
      <c r="B301" s="229" t="s">
        <v>414</v>
      </c>
      <c r="C301" s="38"/>
      <c r="D301" s="33">
        <v>1</v>
      </c>
      <c r="E301" s="33">
        <v>14.24</v>
      </c>
      <c r="F301" s="33">
        <v>0.2</v>
      </c>
      <c r="G301" s="33">
        <v>0.4</v>
      </c>
      <c r="H301" s="33">
        <f t="shared" si="10"/>
        <v>14.24</v>
      </c>
    </row>
    <row r="302" spans="1:8" s="30" customFormat="1" x14ac:dyDescent="0.2">
      <c r="A302" s="31"/>
      <c r="B302" s="229" t="s">
        <v>415</v>
      </c>
      <c r="C302" s="38"/>
      <c r="D302" s="33">
        <v>1</v>
      </c>
      <c r="E302" s="33">
        <v>1.85</v>
      </c>
      <c r="F302" s="33">
        <v>0.15</v>
      </c>
      <c r="G302" s="33">
        <v>0.4</v>
      </c>
      <c r="H302" s="33">
        <f t="shared" si="10"/>
        <v>1.76</v>
      </c>
    </row>
    <row r="303" spans="1:8" s="30" customFormat="1" x14ac:dyDescent="0.2">
      <c r="A303" s="31"/>
      <c r="B303" s="229" t="s">
        <v>416</v>
      </c>
      <c r="C303" s="38"/>
      <c r="D303" s="33">
        <v>1</v>
      </c>
      <c r="E303" s="33">
        <v>11.65</v>
      </c>
      <c r="F303" s="33">
        <v>0.2</v>
      </c>
      <c r="G303" s="33">
        <v>0.4</v>
      </c>
      <c r="H303" s="33">
        <f>ROUND(((G303+G303+F303)*E303)*D303,2)</f>
        <v>11.65</v>
      </c>
    </row>
    <row r="304" spans="1:8" s="30" customFormat="1" x14ac:dyDescent="0.2">
      <c r="A304" s="31"/>
      <c r="B304" s="39" t="str">
        <f>"Total item "&amp;A279</f>
        <v>Total item 5.2</v>
      </c>
      <c r="C304" s="38"/>
      <c r="D304" s="33"/>
      <c r="E304" s="33"/>
      <c r="F304" s="33"/>
      <c r="G304" s="33"/>
      <c r="H304" s="19">
        <f>SUM(H280:H303)</f>
        <v>287.82000000000005</v>
      </c>
    </row>
    <row r="305" spans="1:10" s="30" customFormat="1" x14ac:dyDescent="0.2">
      <c r="A305" s="31"/>
      <c r="B305" s="223"/>
      <c r="C305" s="32"/>
      <c r="D305" s="224"/>
      <c r="E305" s="224"/>
      <c r="F305" s="224"/>
      <c r="G305" s="224"/>
      <c r="H305" s="224"/>
    </row>
    <row r="306" spans="1:10" s="30" customFormat="1" ht="33.75" x14ac:dyDescent="0.2">
      <c r="A306" s="225" t="s">
        <v>16</v>
      </c>
      <c r="B306" s="243" t="s">
        <v>272</v>
      </c>
      <c r="C306" s="227" t="s">
        <v>268</v>
      </c>
      <c r="D306" s="19"/>
      <c r="E306" s="19"/>
      <c r="F306" s="19"/>
      <c r="G306" s="19" t="s">
        <v>462</v>
      </c>
      <c r="H306" s="19"/>
      <c r="J306" s="30" t="s">
        <v>510</v>
      </c>
    </row>
    <row r="307" spans="1:10" s="30" customFormat="1" ht="22.5" x14ac:dyDescent="0.2">
      <c r="A307" s="31"/>
      <c r="B307" s="39" t="s">
        <v>266</v>
      </c>
      <c r="C307" s="38"/>
      <c r="D307" s="242"/>
      <c r="E307" s="242"/>
      <c r="F307" s="33"/>
      <c r="G307" s="33"/>
      <c r="H307" s="33"/>
    </row>
    <row r="308" spans="1:10" s="30" customFormat="1" x14ac:dyDescent="0.2">
      <c r="A308" s="31"/>
      <c r="B308" s="39" t="s">
        <v>211</v>
      </c>
      <c r="C308" s="38"/>
      <c r="D308" s="242"/>
      <c r="E308" s="242"/>
      <c r="F308" s="33"/>
      <c r="G308" s="33"/>
      <c r="H308" s="33"/>
    </row>
    <row r="309" spans="1:10" s="30" customFormat="1" x14ac:dyDescent="0.2">
      <c r="A309" s="31"/>
      <c r="B309" s="229" t="s">
        <v>394</v>
      </c>
      <c r="C309" s="38"/>
      <c r="D309" s="242">
        <v>6</v>
      </c>
      <c r="E309" s="33">
        <v>13.85</v>
      </c>
      <c r="F309" s="33"/>
      <c r="G309" s="260">
        <v>0.61699999999999999</v>
      </c>
      <c r="H309" s="33">
        <f t="shared" ref="H309:H326" si="11">ROUND(PRODUCT(D309:G309),2)</f>
        <v>51.27</v>
      </c>
    </row>
    <row r="310" spans="1:10" s="30" customFormat="1" x14ac:dyDescent="0.2">
      <c r="A310" s="31"/>
      <c r="B310" s="229" t="s">
        <v>397</v>
      </c>
      <c r="C310" s="38"/>
      <c r="D310" s="242">
        <v>6</v>
      </c>
      <c r="E310" s="33">
        <f>6.85+6.8+6.85</f>
        <v>20.5</v>
      </c>
      <c r="F310" s="33"/>
      <c r="G310" s="260">
        <v>0.61699999999999999</v>
      </c>
      <c r="H310" s="33">
        <f t="shared" si="11"/>
        <v>75.89</v>
      </c>
    </row>
    <row r="311" spans="1:10" s="30" customFormat="1" x14ac:dyDescent="0.2">
      <c r="A311" s="31"/>
      <c r="B311" s="229" t="s">
        <v>398</v>
      </c>
      <c r="C311" s="38"/>
      <c r="D311" s="242">
        <v>6</v>
      </c>
      <c r="E311" s="33">
        <f>6.85+6.8+6.85</f>
        <v>20.5</v>
      </c>
      <c r="F311" s="33"/>
      <c r="G311" s="260">
        <v>0.61699999999999999</v>
      </c>
      <c r="H311" s="33">
        <f t="shared" si="11"/>
        <v>75.89</v>
      </c>
    </row>
    <row r="312" spans="1:10" s="30" customFormat="1" x14ac:dyDescent="0.2">
      <c r="A312" s="31"/>
      <c r="B312" s="229" t="s">
        <v>401</v>
      </c>
      <c r="C312" s="38"/>
      <c r="D312" s="242">
        <v>6</v>
      </c>
      <c r="E312" s="33">
        <v>14.24</v>
      </c>
      <c r="F312" s="33"/>
      <c r="G312" s="260">
        <v>0.61699999999999999</v>
      </c>
      <c r="H312" s="33">
        <f t="shared" si="11"/>
        <v>52.72</v>
      </c>
    </row>
    <row r="313" spans="1:10" s="30" customFormat="1" x14ac:dyDescent="0.2">
      <c r="A313" s="31"/>
      <c r="B313" s="229" t="s">
        <v>402</v>
      </c>
      <c r="C313" s="38"/>
      <c r="D313" s="242">
        <v>6</v>
      </c>
      <c r="E313" s="33">
        <v>1.9</v>
      </c>
      <c r="F313" s="33"/>
      <c r="G313" s="260">
        <v>0.61699999999999999</v>
      </c>
      <c r="H313" s="33">
        <f t="shared" si="11"/>
        <v>7.03</v>
      </c>
    </row>
    <row r="314" spans="1:10" s="30" customFormat="1" x14ac:dyDescent="0.2">
      <c r="A314" s="31"/>
      <c r="B314" s="229" t="s">
        <v>403</v>
      </c>
      <c r="C314" s="38"/>
      <c r="D314" s="242">
        <v>6</v>
      </c>
      <c r="E314" s="33">
        <v>24.85</v>
      </c>
      <c r="F314" s="33"/>
      <c r="G314" s="260">
        <v>0.61699999999999999</v>
      </c>
      <c r="H314" s="33">
        <f t="shared" si="11"/>
        <v>91.99</v>
      </c>
    </row>
    <row r="315" spans="1:10" s="30" customFormat="1" x14ac:dyDescent="0.2">
      <c r="A315" s="31"/>
      <c r="B315" s="229" t="s">
        <v>404</v>
      </c>
      <c r="C315" s="38"/>
      <c r="D315" s="242">
        <v>6</v>
      </c>
      <c r="E315" s="33">
        <v>1.9</v>
      </c>
      <c r="F315" s="33"/>
      <c r="G315" s="260">
        <v>0.61699999999999999</v>
      </c>
      <c r="H315" s="33">
        <f t="shared" si="11"/>
        <v>7.03</v>
      </c>
    </row>
    <row r="316" spans="1:10" s="30" customFormat="1" x14ac:dyDescent="0.2">
      <c r="A316" s="31"/>
      <c r="B316" s="229" t="s">
        <v>405</v>
      </c>
      <c r="C316" s="38"/>
      <c r="D316" s="242">
        <v>6</v>
      </c>
      <c r="E316" s="33">
        <v>24.85</v>
      </c>
      <c r="F316" s="33"/>
      <c r="G316" s="260">
        <v>0.61699999999999999</v>
      </c>
      <c r="H316" s="33">
        <f t="shared" si="11"/>
        <v>91.99</v>
      </c>
    </row>
    <row r="317" spans="1:10" s="30" customFormat="1" x14ac:dyDescent="0.2">
      <c r="A317" s="31"/>
      <c r="B317" s="229" t="s">
        <v>406</v>
      </c>
      <c r="C317" s="38"/>
      <c r="D317" s="242">
        <v>6</v>
      </c>
      <c r="E317" s="33">
        <v>1.9</v>
      </c>
      <c r="F317" s="33"/>
      <c r="G317" s="260">
        <v>0.61699999999999999</v>
      </c>
      <c r="H317" s="33">
        <f t="shared" si="11"/>
        <v>7.03</v>
      </c>
    </row>
    <row r="318" spans="1:10" s="30" customFormat="1" x14ac:dyDescent="0.2">
      <c r="A318" s="31"/>
      <c r="B318" s="229" t="s">
        <v>407</v>
      </c>
      <c r="C318" s="38"/>
      <c r="D318" s="242">
        <v>6</v>
      </c>
      <c r="E318" s="33">
        <v>11.65</v>
      </c>
      <c r="F318" s="33"/>
      <c r="G318" s="260">
        <v>0.61699999999999999</v>
      </c>
      <c r="H318" s="33">
        <f t="shared" si="11"/>
        <v>43.13</v>
      </c>
    </row>
    <row r="319" spans="1:10" s="30" customFormat="1" x14ac:dyDescent="0.2">
      <c r="A319" s="31"/>
      <c r="B319" s="229" t="s">
        <v>408</v>
      </c>
      <c r="C319" s="38"/>
      <c r="D319" s="242">
        <v>6</v>
      </c>
      <c r="E319" s="33">
        <v>13.85</v>
      </c>
      <c r="F319" s="33"/>
      <c r="G319" s="260">
        <v>0.61699999999999999</v>
      </c>
      <c r="H319" s="33">
        <f t="shared" si="11"/>
        <v>51.27</v>
      </c>
    </row>
    <row r="320" spans="1:10" s="30" customFormat="1" x14ac:dyDescent="0.2">
      <c r="A320" s="31"/>
      <c r="B320" s="229" t="s">
        <v>410</v>
      </c>
      <c r="C320" s="38"/>
      <c r="D320" s="242">
        <v>6</v>
      </c>
      <c r="E320" s="33">
        <v>13.85</v>
      </c>
      <c r="F320" s="33"/>
      <c r="G320" s="260">
        <v>0.61699999999999999</v>
      </c>
      <c r="H320" s="33">
        <f t="shared" si="11"/>
        <v>51.27</v>
      </c>
    </row>
    <row r="321" spans="1:8" s="30" customFormat="1" x14ac:dyDescent="0.2">
      <c r="A321" s="31"/>
      <c r="B321" s="229" t="s">
        <v>411</v>
      </c>
      <c r="C321" s="38"/>
      <c r="D321" s="242">
        <v>6</v>
      </c>
      <c r="E321" s="33">
        <v>2.15</v>
      </c>
      <c r="F321" s="33"/>
      <c r="G321" s="260">
        <v>0.61699999999999999</v>
      </c>
      <c r="H321" s="33">
        <f t="shared" si="11"/>
        <v>7.96</v>
      </c>
    </row>
    <row r="322" spans="1:8" s="30" customFormat="1" x14ac:dyDescent="0.2">
      <c r="A322" s="31"/>
      <c r="B322" s="229" t="s">
        <v>412</v>
      </c>
      <c r="C322" s="38"/>
      <c r="D322" s="242">
        <v>6</v>
      </c>
      <c r="E322" s="33">
        <v>2.15</v>
      </c>
      <c r="F322" s="33"/>
      <c r="G322" s="260">
        <v>0.61699999999999999</v>
      </c>
      <c r="H322" s="33">
        <f t="shared" si="11"/>
        <v>7.96</v>
      </c>
    </row>
    <row r="323" spans="1:8" s="30" customFormat="1" x14ac:dyDescent="0.2">
      <c r="A323" s="31"/>
      <c r="B323" s="229" t="s">
        <v>413</v>
      </c>
      <c r="C323" s="38"/>
      <c r="D323" s="242">
        <v>6</v>
      </c>
      <c r="E323" s="33">
        <v>2.15</v>
      </c>
      <c r="F323" s="33"/>
      <c r="G323" s="260">
        <v>0.61699999999999999</v>
      </c>
      <c r="H323" s="33">
        <f t="shared" si="11"/>
        <v>7.96</v>
      </c>
    </row>
    <row r="324" spans="1:8" s="30" customFormat="1" x14ac:dyDescent="0.2">
      <c r="A324" s="31"/>
      <c r="B324" s="229" t="s">
        <v>414</v>
      </c>
      <c r="C324" s="38"/>
      <c r="D324" s="242">
        <v>6</v>
      </c>
      <c r="E324" s="33">
        <v>13.64</v>
      </c>
      <c r="F324" s="33"/>
      <c r="G324" s="260">
        <v>0.61699999999999999</v>
      </c>
      <c r="H324" s="33">
        <f t="shared" si="11"/>
        <v>50.5</v>
      </c>
    </row>
    <row r="325" spans="1:8" s="30" customFormat="1" x14ac:dyDescent="0.2">
      <c r="A325" s="31"/>
      <c r="B325" s="229" t="s">
        <v>415</v>
      </c>
      <c r="C325" s="38"/>
      <c r="D325" s="242">
        <v>6</v>
      </c>
      <c r="E325" s="33">
        <v>2.15</v>
      </c>
      <c r="F325" s="33"/>
      <c r="G325" s="260">
        <v>0.61699999999999999</v>
      </c>
      <c r="H325" s="33">
        <f t="shared" si="11"/>
        <v>7.96</v>
      </c>
    </row>
    <row r="326" spans="1:8" s="30" customFormat="1" x14ac:dyDescent="0.2">
      <c r="A326" s="31"/>
      <c r="B326" s="229" t="s">
        <v>416</v>
      </c>
      <c r="C326" s="38"/>
      <c r="D326" s="242">
        <v>6</v>
      </c>
      <c r="E326" s="33">
        <v>11.9</v>
      </c>
      <c r="F326" s="33"/>
      <c r="G326" s="260">
        <v>0.61699999999999999</v>
      </c>
      <c r="H326" s="33">
        <f t="shared" si="11"/>
        <v>44.05</v>
      </c>
    </row>
    <row r="327" spans="1:8" s="30" customFormat="1" x14ac:dyDescent="0.2">
      <c r="A327" s="31"/>
      <c r="B327" s="39" t="str">
        <f>"Total item "&amp;A306</f>
        <v>Total item 5.3</v>
      </c>
      <c r="C327" s="38"/>
      <c r="D327" s="33"/>
      <c r="E327" s="33"/>
      <c r="F327" s="33"/>
      <c r="G327" s="33"/>
      <c r="H327" s="19">
        <f>SUM(H309:H326)</f>
        <v>732.90000000000009</v>
      </c>
    </row>
    <row r="328" spans="1:8" s="30" customFormat="1" x14ac:dyDescent="0.2">
      <c r="A328" s="31"/>
      <c r="B328" s="223"/>
      <c r="C328" s="32"/>
      <c r="D328" s="224"/>
      <c r="E328" s="224"/>
      <c r="F328" s="224"/>
      <c r="G328" s="224"/>
      <c r="H328" s="224"/>
    </row>
    <row r="329" spans="1:8" s="30" customFormat="1" ht="33.75" x14ac:dyDescent="0.2">
      <c r="A329" s="225" t="s">
        <v>17</v>
      </c>
      <c r="B329" s="243" t="s">
        <v>273</v>
      </c>
      <c r="C329" s="227" t="s">
        <v>268</v>
      </c>
      <c r="D329" s="19"/>
      <c r="E329" s="19"/>
      <c r="F329" s="19"/>
      <c r="G329" s="19" t="s">
        <v>462</v>
      </c>
      <c r="H329" s="19"/>
    </row>
    <row r="330" spans="1:8" s="30" customFormat="1" ht="22.5" x14ac:dyDescent="0.2">
      <c r="A330" s="31"/>
      <c r="B330" s="39" t="s">
        <v>266</v>
      </c>
      <c r="C330" s="38"/>
      <c r="D330" s="242"/>
      <c r="E330" s="242"/>
      <c r="F330" s="33"/>
      <c r="G330" s="33"/>
      <c r="H330" s="33"/>
    </row>
    <row r="331" spans="1:8" s="30" customFormat="1" x14ac:dyDescent="0.2">
      <c r="A331" s="31"/>
      <c r="B331" s="39" t="s">
        <v>181</v>
      </c>
      <c r="C331" s="38"/>
      <c r="D331" s="242"/>
      <c r="E331" s="242"/>
      <c r="F331" s="33"/>
      <c r="G331" s="33"/>
      <c r="H331" s="33"/>
    </row>
    <row r="332" spans="1:8" s="30" customFormat="1" x14ac:dyDescent="0.2">
      <c r="A332" s="31"/>
      <c r="B332" s="229" t="s">
        <v>511</v>
      </c>
      <c r="C332" s="38"/>
      <c r="D332" s="33">
        <v>6</v>
      </c>
      <c r="E332" s="33">
        <v>6.75</v>
      </c>
      <c r="F332" s="33"/>
      <c r="G332" s="260">
        <v>0.96299999999999997</v>
      </c>
      <c r="H332" s="33">
        <f t="shared" ref="H332:H364" si="12">ROUND(PRODUCT(D332:G332),2)</f>
        <v>39</v>
      </c>
    </row>
    <row r="333" spans="1:8" s="30" customFormat="1" x14ac:dyDescent="0.2">
      <c r="A333" s="31"/>
      <c r="B333" s="229" t="s">
        <v>512</v>
      </c>
      <c r="C333" s="38"/>
      <c r="D333" s="33">
        <v>6</v>
      </c>
      <c r="E333" s="33">
        <v>6.75</v>
      </c>
      <c r="F333" s="33"/>
      <c r="G333" s="260">
        <v>0.96299999999999997</v>
      </c>
      <c r="H333" s="33">
        <f t="shared" si="12"/>
        <v>39</v>
      </c>
    </row>
    <row r="334" spans="1:8" s="30" customFormat="1" x14ac:dyDescent="0.2">
      <c r="A334" s="31"/>
      <c r="B334" s="229" t="s">
        <v>513</v>
      </c>
      <c r="C334" s="38"/>
      <c r="D334" s="33">
        <v>6</v>
      </c>
      <c r="E334" s="33">
        <v>6.75</v>
      </c>
      <c r="F334" s="33"/>
      <c r="G334" s="260">
        <v>0.96299999999999997</v>
      </c>
      <c r="H334" s="33">
        <f t="shared" si="12"/>
        <v>39</v>
      </c>
    </row>
    <row r="335" spans="1:8" s="30" customFormat="1" x14ac:dyDescent="0.2">
      <c r="A335" s="31"/>
      <c r="B335" s="229" t="s">
        <v>514</v>
      </c>
      <c r="C335" s="38"/>
      <c r="D335" s="33">
        <v>6</v>
      </c>
      <c r="E335" s="33">
        <v>6.75</v>
      </c>
      <c r="F335" s="33"/>
      <c r="G335" s="260">
        <v>0.96299999999999997</v>
      </c>
      <c r="H335" s="33">
        <f t="shared" si="12"/>
        <v>39</v>
      </c>
    </row>
    <row r="336" spans="1:8" s="30" customFormat="1" x14ac:dyDescent="0.2">
      <c r="A336" s="31"/>
      <c r="B336" s="229" t="s">
        <v>515</v>
      </c>
      <c r="C336" s="38"/>
      <c r="D336" s="33">
        <v>6</v>
      </c>
      <c r="E336" s="33">
        <v>6.75</v>
      </c>
      <c r="F336" s="33"/>
      <c r="G336" s="260">
        <v>0.96299999999999997</v>
      </c>
      <c r="H336" s="33">
        <f t="shared" si="12"/>
        <v>39</v>
      </c>
    </row>
    <row r="337" spans="1:8" s="30" customFormat="1" x14ac:dyDescent="0.2">
      <c r="A337" s="31"/>
      <c r="B337" s="229" t="s">
        <v>516</v>
      </c>
      <c r="C337" s="38"/>
      <c r="D337" s="33">
        <v>6</v>
      </c>
      <c r="E337" s="33">
        <v>6.75</v>
      </c>
      <c r="F337" s="33"/>
      <c r="G337" s="260">
        <v>0.96299999999999997</v>
      </c>
      <c r="H337" s="33">
        <f t="shared" si="12"/>
        <v>39</v>
      </c>
    </row>
    <row r="338" spans="1:8" s="30" customFormat="1" x14ac:dyDescent="0.2">
      <c r="A338" s="31"/>
      <c r="B338" s="229" t="s">
        <v>517</v>
      </c>
      <c r="C338" s="38"/>
      <c r="D338" s="33">
        <v>6</v>
      </c>
      <c r="E338" s="33">
        <v>3.75</v>
      </c>
      <c r="F338" s="33"/>
      <c r="G338" s="260">
        <v>0.96299999999999997</v>
      </c>
      <c r="H338" s="33">
        <f t="shared" si="12"/>
        <v>21.67</v>
      </c>
    </row>
    <row r="339" spans="1:8" s="30" customFormat="1" x14ac:dyDescent="0.2">
      <c r="A339" s="31"/>
      <c r="B339" s="229" t="s">
        <v>518</v>
      </c>
      <c r="C339" s="38"/>
      <c r="D339" s="33">
        <v>6</v>
      </c>
      <c r="E339" s="33">
        <v>3.75</v>
      </c>
      <c r="F339" s="33"/>
      <c r="G339" s="260">
        <v>0.96299999999999997</v>
      </c>
      <c r="H339" s="33">
        <f t="shared" si="12"/>
        <v>21.67</v>
      </c>
    </row>
    <row r="340" spans="1:8" s="30" customFormat="1" x14ac:dyDescent="0.2">
      <c r="A340" s="31"/>
      <c r="B340" s="229" t="s">
        <v>519</v>
      </c>
      <c r="C340" s="38"/>
      <c r="D340" s="33">
        <v>6</v>
      </c>
      <c r="E340" s="33">
        <v>3.75</v>
      </c>
      <c r="F340" s="33"/>
      <c r="G340" s="260">
        <v>0.96299999999999997</v>
      </c>
      <c r="H340" s="33">
        <f t="shared" si="12"/>
        <v>21.67</v>
      </c>
    </row>
    <row r="341" spans="1:8" s="30" customFormat="1" x14ac:dyDescent="0.2">
      <c r="A341" s="31"/>
      <c r="B341" s="229" t="s">
        <v>520</v>
      </c>
      <c r="C341" s="38"/>
      <c r="D341" s="33">
        <v>6</v>
      </c>
      <c r="E341" s="33">
        <v>6.75</v>
      </c>
      <c r="F341" s="33"/>
      <c r="G341" s="260">
        <v>0.96299999999999997</v>
      </c>
      <c r="H341" s="33">
        <f t="shared" si="12"/>
        <v>39</v>
      </c>
    </row>
    <row r="342" spans="1:8" s="30" customFormat="1" x14ac:dyDescent="0.2">
      <c r="A342" s="31"/>
      <c r="B342" s="229" t="s">
        <v>521</v>
      </c>
      <c r="C342" s="38"/>
      <c r="D342" s="33">
        <v>6</v>
      </c>
      <c r="E342" s="33">
        <v>6.75</v>
      </c>
      <c r="F342" s="33"/>
      <c r="G342" s="260">
        <v>0.96299999999999997</v>
      </c>
      <c r="H342" s="33">
        <f t="shared" si="12"/>
        <v>39</v>
      </c>
    </row>
    <row r="343" spans="1:8" s="30" customFormat="1" x14ac:dyDescent="0.2">
      <c r="A343" s="31"/>
      <c r="B343" s="229" t="s">
        <v>522</v>
      </c>
      <c r="C343" s="38"/>
      <c r="D343" s="33">
        <v>6</v>
      </c>
      <c r="E343" s="33">
        <v>3.75</v>
      </c>
      <c r="F343" s="33"/>
      <c r="G343" s="260">
        <v>0.96299999999999997</v>
      </c>
      <c r="H343" s="33">
        <f t="shared" si="12"/>
        <v>21.67</v>
      </c>
    </row>
    <row r="344" spans="1:8" s="30" customFormat="1" x14ac:dyDescent="0.2">
      <c r="A344" s="31"/>
      <c r="B344" s="229" t="s">
        <v>523</v>
      </c>
      <c r="C344" s="38"/>
      <c r="D344" s="33">
        <v>6</v>
      </c>
      <c r="E344" s="33">
        <v>6.75</v>
      </c>
      <c r="F344" s="33"/>
      <c r="G344" s="260">
        <v>0.96299999999999997</v>
      </c>
      <c r="H344" s="33">
        <f t="shared" si="12"/>
        <v>39</v>
      </c>
    </row>
    <row r="345" spans="1:8" s="30" customFormat="1" x14ac:dyDescent="0.2">
      <c r="A345" s="31"/>
      <c r="B345" s="229" t="s">
        <v>524</v>
      </c>
      <c r="C345" s="38"/>
      <c r="D345" s="33">
        <v>6</v>
      </c>
      <c r="E345" s="33">
        <v>6.75</v>
      </c>
      <c r="F345" s="33"/>
      <c r="G345" s="260">
        <v>0.96299999999999997</v>
      </c>
      <c r="H345" s="33">
        <f t="shared" si="12"/>
        <v>39</v>
      </c>
    </row>
    <row r="346" spans="1:8" s="30" customFormat="1" x14ac:dyDescent="0.2">
      <c r="A346" s="31"/>
      <c r="B346" s="229" t="s">
        <v>525</v>
      </c>
      <c r="C346" s="38"/>
      <c r="D346" s="33">
        <v>6</v>
      </c>
      <c r="E346" s="33">
        <v>6.75</v>
      </c>
      <c r="F346" s="33"/>
      <c r="G346" s="260">
        <v>0.96299999999999997</v>
      </c>
      <c r="H346" s="33">
        <f t="shared" si="12"/>
        <v>39</v>
      </c>
    </row>
    <row r="347" spans="1:8" s="30" customFormat="1" x14ac:dyDescent="0.2">
      <c r="A347" s="31"/>
      <c r="B347" s="229" t="s">
        <v>526</v>
      </c>
      <c r="C347" s="38"/>
      <c r="D347" s="33">
        <v>6</v>
      </c>
      <c r="E347" s="33">
        <v>6.75</v>
      </c>
      <c r="F347" s="33"/>
      <c r="G347" s="260">
        <v>0.96299999999999997</v>
      </c>
      <c r="H347" s="33">
        <f t="shared" si="12"/>
        <v>39</v>
      </c>
    </row>
    <row r="348" spans="1:8" s="30" customFormat="1" x14ac:dyDescent="0.2">
      <c r="A348" s="31"/>
      <c r="B348" s="229" t="s">
        <v>527</v>
      </c>
      <c r="C348" s="38"/>
      <c r="D348" s="33">
        <v>6</v>
      </c>
      <c r="E348" s="33">
        <v>6.75</v>
      </c>
      <c r="F348" s="33"/>
      <c r="G348" s="260">
        <v>0.96299999999999997</v>
      </c>
      <c r="H348" s="33">
        <f t="shared" si="12"/>
        <v>39</v>
      </c>
    </row>
    <row r="349" spans="1:8" s="30" customFormat="1" x14ac:dyDescent="0.2">
      <c r="A349" s="31"/>
      <c r="B349" s="229" t="s">
        <v>528</v>
      </c>
      <c r="C349" s="38"/>
      <c r="D349" s="33">
        <v>6</v>
      </c>
      <c r="E349" s="33">
        <v>6.75</v>
      </c>
      <c r="F349" s="33"/>
      <c r="G349" s="260">
        <v>0.96299999999999997</v>
      </c>
      <c r="H349" s="33">
        <f t="shared" si="12"/>
        <v>39</v>
      </c>
    </row>
    <row r="350" spans="1:8" s="30" customFormat="1" x14ac:dyDescent="0.2">
      <c r="A350" s="31"/>
      <c r="B350" s="229" t="s">
        <v>561</v>
      </c>
      <c r="C350" s="38"/>
      <c r="D350" s="33">
        <v>6</v>
      </c>
      <c r="E350" s="33">
        <v>6.75</v>
      </c>
      <c r="F350" s="33"/>
      <c r="G350" s="260">
        <v>0.96299999999999997</v>
      </c>
      <c r="H350" s="33">
        <f t="shared" si="12"/>
        <v>39</v>
      </c>
    </row>
    <row r="351" spans="1:8" s="30" customFormat="1" x14ac:dyDescent="0.2">
      <c r="A351" s="31"/>
      <c r="B351" s="229" t="s">
        <v>562</v>
      </c>
      <c r="C351" s="38"/>
      <c r="D351" s="33">
        <v>6</v>
      </c>
      <c r="E351" s="33">
        <v>6.75</v>
      </c>
      <c r="F351" s="33"/>
      <c r="G351" s="260">
        <v>0.96299999999999997</v>
      </c>
      <c r="H351" s="33">
        <f t="shared" si="12"/>
        <v>39</v>
      </c>
    </row>
    <row r="352" spans="1:8" s="30" customFormat="1" x14ac:dyDescent="0.2">
      <c r="A352" s="31"/>
      <c r="B352" s="229" t="s">
        <v>529</v>
      </c>
      <c r="C352" s="38"/>
      <c r="D352" s="33">
        <v>6</v>
      </c>
      <c r="E352" s="33">
        <v>6.75</v>
      </c>
      <c r="F352" s="33"/>
      <c r="G352" s="260">
        <v>0.96299999999999997</v>
      </c>
      <c r="H352" s="33">
        <f t="shared" si="12"/>
        <v>39</v>
      </c>
    </row>
    <row r="353" spans="1:8" s="30" customFormat="1" x14ac:dyDescent="0.2">
      <c r="A353" s="31"/>
      <c r="B353" s="229" t="s">
        <v>530</v>
      </c>
      <c r="C353" s="38"/>
      <c r="D353" s="33">
        <v>6</v>
      </c>
      <c r="E353" s="33">
        <v>6.75</v>
      </c>
      <c r="F353" s="33"/>
      <c r="G353" s="260">
        <v>0.96299999999999997</v>
      </c>
      <c r="H353" s="33">
        <f t="shared" si="12"/>
        <v>39</v>
      </c>
    </row>
    <row r="354" spans="1:8" s="30" customFormat="1" x14ac:dyDescent="0.2">
      <c r="A354" s="31"/>
      <c r="B354" s="229" t="s">
        <v>531</v>
      </c>
      <c r="C354" s="38"/>
      <c r="D354" s="33">
        <v>6</v>
      </c>
      <c r="E354" s="33">
        <v>6.75</v>
      </c>
      <c r="F354" s="33"/>
      <c r="G354" s="260">
        <v>0.96299999999999997</v>
      </c>
      <c r="H354" s="33">
        <f t="shared" si="12"/>
        <v>39</v>
      </c>
    </row>
    <row r="355" spans="1:8" s="30" customFormat="1" x14ac:dyDescent="0.2">
      <c r="A355" s="31"/>
      <c r="B355" s="229" t="s">
        <v>532</v>
      </c>
      <c r="C355" s="38"/>
      <c r="D355" s="33">
        <v>6</v>
      </c>
      <c r="E355" s="33">
        <v>6.75</v>
      </c>
      <c r="F355" s="33"/>
      <c r="G355" s="260">
        <v>0.96299999999999997</v>
      </c>
      <c r="H355" s="33">
        <f t="shared" si="12"/>
        <v>39</v>
      </c>
    </row>
    <row r="356" spans="1:8" s="30" customFormat="1" x14ac:dyDescent="0.2">
      <c r="A356" s="31"/>
      <c r="B356" s="229" t="s">
        <v>533</v>
      </c>
      <c r="C356" s="38"/>
      <c r="D356" s="33">
        <v>6</v>
      </c>
      <c r="E356" s="33">
        <v>6.75</v>
      </c>
      <c r="F356" s="33"/>
      <c r="G356" s="260">
        <v>0.96299999999999997</v>
      </c>
      <c r="H356" s="33">
        <f t="shared" si="12"/>
        <v>39</v>
      </c>
    </row>
    <row r="357" spans="1:8" s="30" customFormat="1" x14ac:dyDescent="0.2">
      <c r="A357" s="31"/>
      <c r="B357" s="229" t="s">
        <v>534</v>
      </c>
      <c r="C357" s="38"/>
      <c r="D357" s="33">
        <v>6</v>
      </c>
      <c r="E357" s="33">
        <v>6.75</v>
      </c>
      <c r="F357" s="33"/>
      <c r="G357" s="260">
        <v>0.96299999999999997</v>
      </c>
      <c r="H357" s="33">
        <f t="shared" si="12"/>
        <v>39</v>
      </c>
    </row>
    <row r="358" spans="1:8" s="30" customFormat="1" x14ac:dyDescent="0.2">
      <c r="A358" s="31"/>
      <c r="B358" s="229" t="s">
        <v>535</v>
      </c>
      <c r="C358" s="38"/>
      <c r="D358" s="33">
        <v>6</v>
      </c>
      <c r="E358" s="33">
        <v>6.75</v>
      </c>
      <c r="F358" s="33"/>
      <c r="G358" s="260">
        <v>0.96299999999999997</v>
      </c>
      <c r="H358" s="33">
        <f t="shared" si="12"/>
        <v>39</v>
      </c>
    </row>
    <row r="359" spans="1:8" s="30" customFormat="1" x14ac:dyDescent="0.2">
      <c r="A359" s="31"/>
      <c r="B359" s="229" t="s">
        <v>536</v>
      </c>
      <c r="C359" s="38"/>
      <c r="D359" s="33">
        <v>6</v>
      </c>
      <c r="E359" s="33">
        <v>6.75</v>
      </c>
      <c r="F359" s="33"/>
      <c r="G359" s="260">
        <v>0.96299999999999997</v>
      </c>
      <c r="H359" s="33">
        <f t="shared" si="12"/>
        <v>39</v>
      </c>
    </row>
    <row r="360" spans="1:8" s="30" customFormat="1" x14ac:dyDescent="0.2">
      <c r="A360" s="31"/>
      <c r="B360" s="229" t="s">
        <v>537</v>
      </c>
      <c r="C360" s="38"/>
      <c r="D360" s="33">
        <v>6</v>
      </c>
      <c r="E360" s="33">
        <v>3.75</v>
      </c>
      <c r="F360" s="33"/>
      <c r="G360" s="260">
        <v>0.96299999999999997</v>
      </c>
      <c r="H360" s="33">
        <f t="shared" si="12"/>
        <v>21.67</v>
      </c>
    </row>
    <row r="361" spans="1:8" s="30" customFormat="1" x14ac:dyDescent="0.2">
      <c r="A361" s="31"/>
      <c r="B361" s="229" t="s">
        <v>538</v>
      </c>
      <c r="C361" s="38"/>
      <c r="D361" s="33">
        <v>6</v>
      </c>
      <c r="E361" s="33">
        <v>3.75</v>
      </c>
      <c r="F361" s="33"/>
      <c r="G361" s="260">
        <v>0.96299999999999997</v>
      </c>
      <c r="H361" s="33">
        <f t="shared" si="12"/>
        <v>21.67</v>
      </c>
    </row>
    <row r="362" spans="1:8" s="30" customFormat="1" x14ac:dyDescent="0.2">
      <c r="A362" s="31"/>
      <c r="B362" s="229" t="s">
        <v>539</v>
      </c>
      <c r="C362" s="38"/>
      <c r="D362" s="33">
        <v>6</v>
      </c>
      <c r="E362" s="33">
        <v>3.75</v>
      </c>
      <c r="F362" s="33"/>
      <c r="G362" s="260">
        <v>0.96299999999999997</v>
      </c>
      <c r="H362" s="33">
        <f t="shared" si="12"/>
        <v>21.67</v>
      </c>
    </row>
    <row r="363" spans="1:8" s="30" customFormat="1" x14ac:dyDescent="0.2">
      <c r="A363" s="31"/>
      <c r="B363" s="229" t="s">
        <v>540</v>
      </c>
      <c r="C363" s="38"/>
      <c r="D363" s="33">
        <v>6</v>
      </c>
      <c r="E363" s="33">
        <v>3.75</v>
      </c>
      <c r="F363" s="33"/>
      <c r="G363" s="260">
        <v>0.96299999999999997</v>
      </c>
      <c r="H363" s="33">
        <f t="shared" si="12"/>
        <v>21.67</v>
      </c>
    </row>
    <row r="364" spans="1:8" s="30" customFormat="1" x14ac:dyDescent="0.2">
      <c r="A364" s="31"/>
      <c r="B364" s="229" t="s">
        <v>541</v>
      </c>
      <c r="C364" s="38"/>
      <c r="D364" s="33">
        <v>6</v>
      </c>
      <c r="E364" s="33">
        <v>6.75</v>
      </c>
      <c r="F364" s="33"/>
      <c r="G364" s="260">
        <v>0.96299999999999997</v>
      </c>
      <c r="H364" s="33">
        <f t="shared" si="12"/>
        <v>39</v>
      </c>
    </row>
    <row r="365" spans="1:8" s="30" customFormat="1" x14ac:dyDescent="0.2">
      <c r="A365" s="31"/>
      <c r="B365" s="39" t="s">
        <v>211</v>
      </c>
      <c r="C365" s="38"/>
      <c r="D365" s="33"/>
      <c r="E365" s="33"/>
      <c r="F365" s="33"/>
      <c r="G365" s="33"/>
      <c r="H365" s="33"/>
    </row>
    <row r="366" spans="1:8" s="30" customFormat="1" x14ac:dyDescent="0.2">
      <c r="A366" s="31"/>
      <c r="B366" s="229" t="s">
        <v>395</v>
      </c>
      <c r="C366" s="38"/>
      <c r="D366" s="33">
        <v>6</v>
      </c>
      <c r="E366" s="33">
        <v>13.85</v>
      </c>
      <c r="F366" s="33"/>
      <c r="G366" s="260">
        <v>0.96299999999999997</v>
      </c>
      <c r="H366" s="33">
        <f t="shared" ref="H366:H370" si="13">ROUND(PRODUCT(D366:G366),2)</f>
        <v>80.03</v>
      </c>
    </row>
    <row r="367" spans="1:8" s="30" customFormat="1" x14ac:dyDescent="0.2">
      <c r="A367" s="31"/>
      <c r="B367" s="229" t="s">
        <v>396</v>
      </c>
      <c r="C367" s="38"/>
      <c r="D367" s="33">
        <v>6</v>
      </c>
      <c r="E367" s="33">
        <v>20.5</v>
      </c>
      <c r="F367" s="33"/>
      <c r="G367" s="260">
        <v>0.96299999999999997</v>
      </c>
      <c r="H367" s="33">
        <f t="shared" si="13"/>
        <v>118.45</v>
      </c>
    </row>
    <row r="368" spans="1:8" s="30" customFormat="1" x14ac:dyDescent="0.2">
      <c r="A368" s="31"/>
      <c r="B368" s="229" t="s">
        <v>399</v>
      </c>
      <c r="C368" s="38"/>
      <c r="D368" s="33">
        <v>6</v>
      </c>
      <c r="E368" s="33">
        <v>32.119999999999997</v>
      </c>
      <c r="F368" s="33"/>
      <c r="G368" s="260">
        <v>0.96299999999999997</v>
      </c>
      <c r="H368" s="33">
        <f t="shared" si="13"/>
        <v>185.59</v>
      </c>
    </row>
    <row r="369" spans="1:8" s="30" customFormat="1" x14ac:dyDescent="0.2">
      <c r="A369" s="31"/>
      <c r="B369" s="229" t="s">
        <v>400</v>
      </c>
      <c r="C369" s="38"/>
      <c r="D369" s="33">
        <v>6</v>
      </c>
      <c r="E369" s="33">
        <v>32.119999999999997</v>
      </c>
      <c r="F369" s="33"/>
      <c r="G369" s="260">
        <v>0.96299999999999997</v>
      </c>
      <c r="H369" s="33">
        <f t="shared" si="13"/>
        <v>185.59</v>
      </c>
    </row>
    <row r="370" spans="1:8" s="30" customFormat="1" x14ac:dyDescent="0.2">
      <c r="A370" s="31"/>
      <c r="B370" s="229" t="s">
        <v>409</v>
      </c>
      <c r="C370" s="38"/>
      <c r="D370" s="33">
        <v>6</v>
      </c>
      <c r="E370" s="33">
        <v>13.85</v>
      </c>
      <c r="F370" s="33"/>
      <c r="G370" s="260">
        <v>0.96299999999999997</v>
      </c>
      <c r="H370" s="33">
        <f t="shared" si="13"/>
        <v>80.03</v>
      </c>
    </row>
    <row r="371" spans="1:8" s="30" customFormat="1" x14ac:dyDescent="0.2">
      <c r="A371" s="31"/>
      <c r="B371" s="39" t="str">
        <f>"Total item "&amp;A329</f>
        <v>Total item 5.4</v>
      </c>
      <c r="C371" s="38"/>
      <c r="D371" s="33"/>
      <c r="E371" s="33"/>
      <c r="F371" s="33"/>
      <c r="G371" s="33"/>
      <c r="H371" s="19">
        <f>SUM(H330:H370)</f>
        <v>1798.0500000000002</v>
      </c>
    </row>
    <row r="372" spans="1:8" s="265" customFormat="1" x14ac:dyDescent="0.2">
      <c r="A372" s="238"/>
      <c r="B372" s="239"/>
      <c r="C372" s="240"/>
      <c r="D372" s="236"/>
      <c r="E372" s="236"/>
      <c r="F372" s="236"/>
      <c r="G372" s="236"/>
      <c r="H372" s="236"/>
    </row>
    <row r="373" spans="1:8" s="30" customFormat="1" ht="36.75" customHeight="1" x14ac:dyDescent="0.2">
      <c r="A373" s="225" t="s">
        <v>449</v>
      </c>
      <c r="B373" s="243" t="s">
        <v>274</v>
      </c>
      <c r="C373" s="227" t="s">
        <v>268</v>
      </c>
      <c r="D373" s="19"/>
      <c r="E373" s="19"/>
      <c r="F373" s="19"/>
      <c r="G373" s="19" t="s">
        <v>462</v>
      </c>
      <c r="H373" s="19"/>
    </row>
    <row r="374" spans="1:8" s="30" customFormat="1" ht="22.5" x14ac:dyDescent="0.2">
      <c r="A374" s="31"/>
      <c r="B374" s="39" t="s">
        <v>266</v>
      </c>
      <c r="C374" s="38"/>
      <c r="D374" s="242"/>
      <c r="E374" s="242"/>
      <c r="F374" s="33"/>
      <c r="G374" s="33"/>
      <c r="H374" s="33"/>
    </row>
    <row r="375" spans="1:8" s="30" customFormat="1" x14ac:dyDescent="0.2">
      <c r="A375" s="31"/>
      <c r="B375" s="39" t="s">
        <v>507</v>
      </c>
      <c r="C375" s="38"/>
      <c r="D375" s="33"/>
      <c r="E375" s="33"/>
      <c r="F375" s="33"/>
      <c r="G375" s="260"/>
      <c r="H375" s="33"/>
    </row>
    <row r="376" spans="1:8" s="30" customFormat="1" x14ac:dyDescent="0.2">
      <c r="A376" s="31"/>
      <c r="B376" s="229" t="s">
        <v>556</v>
      </c>
      <c r="C376" s="38"/>
      <c r="D376" s="33">
        <f>8*65</f>
        <v>520</v>
      </c>
      <c r="E376" s="33">
        <v>0.9</v>
      </c>
      <c r="F376" s="33"/>
      <c r="G376" s="260">
        <v>0.154</v>
      </c>
      <c r="H376" s="33">
        <f t="shared" ref="H376:H410" si="14">ROUND(PRODUCT(D376:G376),2)</f>
        <v>72.069999999999993</v>
      </c>
    </row>
    <row r="377" spans="1:8" s="30" customFormat="1" x14ac:dyDescent="0.2">
      <c r="A377" s="31"/>
      <c r="B377" s="229" t="s">
        <v>542</v>
      </c>
      <c r="C377" s="38"/>
      <c r="D377" s="33">
        <f>2*35</f>
        <v>70</v>
      </c>
      <c r="E377" s="33">
        <v>0.9</v>
      </c>
      <c r="F377" s="33"/>
      <c r="G377" s="260">
        <v>0.154</v>
      </c>
      <c r="H377" s="33">
        <f t="shared" si="14"/>
        <v>9.6999999999999993</v>
      </c>
    </row>
    <row r="378" spans="1:8" s="30" customFormat="1" x14ac:dyDescent="0.2">
      <c r="A378" s="31"/>
      <c r="B378" s="39" t="s">
        <v>508</v>
      </c>
      <c r="C378" s="38"/>
      <c r="D378" s="33"/>
      <c r="E378" s="33"/>
      <c r="F378" s="33"/>
      <c r="G378" s="260"/>
      <c r="H378" s="33"/>
    </row>
    <row r="379" spans="1:8" s="30" customFormat="1" x14ac:dyDescent="0.2">
      <c r="A379" s="31"/>
      <c r="B379" s="229" t="s">
        <v>557</v>
      </c>
      <c r="C379" s="38"/>
      <c r="D379" s="33">
        <f>65*4</f>
        <v>260</v>
      </c>
      <c r="E379" s="33">
        <v>0.8</v>
      </c>
      <c r="F379" s="33"/>
      <c r="G379" s="260">
        <v>0.154</v>
      </c>
      <c r="H379" s="33">
        <f t="shared" si="14"/>
        <v>32.03</v>
      </c>
    </row>
    <row r="380" spans="1:8" s="30" customFormat="1" x14ac:dyDescent="0.2">
      <c r="A380" s="31"/>
      <c r="B380" s="39" t="s">
        <v>506</v>
      </c>
      <c r="C380" s="38"/>
      <c r="D380" s="33"/>
      <c r="E380" s="33"/>
      <c r="F380" s="33"/>
      <c r="G380" s="260"/>
      <c r="H380" s="33"/>
    </row>
    <row r="381" spans="1:8" s="30" customFormat="1" x14ac:dyDescent="0.2">
      <c r="A381" s="31"/>
      <c r="B381" s="229" t="s">
        <v>558</v>
      </c>
      <c r="C381" s="38"/>
      <c r="D381" s="33">
        <f>9*65</f>
        <v>585</v>
      </c>
      <c r="E381" s="33">
        <v>1.1000000000000001</v>
      </c>
      <c r="F381" s="33"/>
      <c r="G381" s="260">
        <v>0.154</v>
      </c>
      <c r="H381" s="33">
        <f t="shared" ref="H381" si="15">ROUND(PRODUCT(D381:G381),2)</f>
        <v>99.1</v>
      </c>
    </row>
    <row r="382" spans="1:8" s="30" customFormat="1" x14ac:dyDescent="0.2">
      <c r="A382" s="31"/>
      <c r="B382" s="229" t="s">
        <v>543</v>
      </c>
      <c r="C382" s="38"/>
      <c r="D382" s="33">
        <f>65*1</f>
        <v>65</v>
      </c>
      <c r="E382" s="33">
        <v>1.1000000000000001</v>
      </c>
      <c r="F382" s="33"/>
      <c r="G382" s="260">
        <v>0.154</v>
      </c>
      <c r="H382" s="33">
        <f t="shared" si="14"/>
        <v>11.01</v>
      </c>
    </row>
    <row r="383" spans="1:8" s="30" customFormat="1" x14ac:dyDescent="0.2">
      <c r="A383" s="31"/>
      <c r="B383" s="39" t="s">
        <v>509</v>
      </c>
      <c r="C383" s="38"/>
      <c r="D383" s="33"/>
      <c r="E383" s="33"/>
      <c r="F383" s="33"/>
      <c r="G383" s="260"/>
      <c r="H383" s="33"/>
    </row>
    <row r="384" spans="1:8" s="30" customFormat="1" x14ac:dyDescent="0.2">
      <c r="A384" s="31"/>
      <c r="B384" s="229" t="s">
        <v>560</v>
      </c>
      <c r="C384" s="38"/>
      <c r="D384" s="33">
        <f>35*4</f>
        <v>140</v>
      </c>
      <c r="E384" s="33">
        <v>1.3</v>
      </c>
      <c r="F384" s="33"/>
      <c r="G384" s="260">
        <v>0.154</v>
      </c>
      <c r="H384" s="33">
        <f t="shared" si="14"/>
        <v>28.03</v>
      </c>
    </row>
    <row r="385" spans="1:8" s="30" customFormat="1" x14ac:dyDescent="0.2">
      <c r="A385" s="31"/>
      <c r="B385" s="229" t="s">
        <v>559</v>
      </c>
      <c r="C385" s="38"/>
      <c r="D385" s="33">
        <f>65*5</f>
        <v>325</v>
      </c>
      <c r="E385" s="33">
        <v>1.5</v>
      </c>
      <c r="F385" s="33"/>
      <c r="G385" s="260">
        <v>0.154</v>
      </c>
      <c r="H385" s="33">
        <f t="shared" si="14"/>
        <v>75.08</v>
      </c>
    </row>
    <row r="386" spans="1:8" s="30" customFormat="1" x14ac:dyDescent="0.2">
      <c r="A386" s="31"/>
      <c r="B386" s="39"/>
      <c r="C386" s="38"/>
      <c r="D386" s="33"/>
      <c r="E386" s="33"/>
      <c r="F386" s="33"/>
      <c r="G386" s="260"/>
      <c r="H386" s="33"/>
    </row>
    <row r="387" spans="1:8" s="30" customFormat="1" x14ac:dyDescent="0.2">
      <c r="A387" s="31"/>
      <c r="B387" s="39" t="s">
        <v>211</v>
      </c>
      <c r="C387" s="38"/>
      <c r="D387" s="33"/>
      <c r="E387" s="33"/>
      <c r="F387" s="33"/>
      <c r="G387" s="260"/>
      <c r="H387" s="33"/>
    </row>
    <row r="388" spans="1:8" s="30" customFormat="1" x14ac:dyDescent="0.2">
      <c r="A388" s="31"/>
      <c r="B388" s="229" t="s">
        <v>394</v>
      </c>
      <c r="C388" s="38"/>
      <c r="D388" s="33">
        <v>139</v>
      </c>
      <c r="E388" s="33">
        <v>1</v>
      </c>
      <c r="F388" s="33"/>
      <c r="G388" s="260">
        <v>0.154</v>
      </c>
      <c r="H388" s="33">
        <f t="shared" si="14"/>
        <v>21.41</v>
      </c>
    </row>
    <row r="389" spans="1:8" s="30" customFormat="1" x14ac:dyDescent="0.2">
      <c r="A389" s="31"/>
      <c r="B389" s="229" t="s">
        <v>395</v>
      </c>
      <c r="C389" s="38"/>
      <c r="D389" s="33">
        <v>139</v>
      </c>
      <c r="E389" s="33">
        <v>1</v>
      </c>
      <c r="F389" s="33"/>
      <c r="G389" s="260">
        <v>0.154</v>
      </c>
      <c r="H389" s="33">
        <f t="shared" si="14"/>
        <v>21.41</v>
      </c>
    </row>
    <row r="390" spans="1:8" s="30" customFormat="1" x14ac:dyDescent="0.2">
      <c r="A390" s="31"/>
      <c r="B390" s="229" t="s">
        <v>396</v>
      </c>
      <c r="C390" s="38"/>
      <c r="D390" s="33">
        <v>139</v>
      </c>
      <c r="E390" s="33">
        <v>1</v>
      </c>
      <c r="F390" s="33"/>
      <c r="G390" s="260">
        <v>0.154</v>
      </c>
      <c r="H390" s="33">
        <f t="shared" si="14"/>
        <v>21.41</v>
      </c>
    </row>
    <row r="391" spans="1:8" s="30" customFormat="1" x14ac:dyDescent="0.2">
      <c r="A391" s="31"/>
      <c r="B391" s="229" t="s">
        <v>397</v>
      </c>
      <c r="C391" s="38"/>
      <c r="D391" s="33">
        <v>205</v>
      </c>
      <c r="E391" s="33">
        <v>1</v>
      </c>
      <c r="F391" s="33"/>
      <c r="G391" s="260">
        <v>0.154</v>
      </c>
      <c r="H391" s="33">
        <f t="shared" si="14"/>
        <v>31.57</v>
      </c>
    </row>
    <row r="392" spans="1:8" s="30" customFormat="1" x14ac:dyDescent="0.2">
      <c r="A392" s="31"/>
      <c r="B392" s="229" t="s">
        <v>398</v>
      </c>
      <c r="C392" s="38"/>
      <c r="D392" s="33">
        <v>205</v>
      </c>
      <c r="E392" s="33">
        <v>1</v>
      </c>
      <c r="F392" s="33"/>
      <c r="G392" s="260">
        <v>0.154</v>
      </c>
      <c r="H392" s="33">
        <f t="shared" si="14"/>
        <v>31.57</v>
      </c>
    </row>
    <row r="393" spans="1:8" s="30" customFormat="1" x14ac:dyDescent="0.2">
      <c r="A393" s="31"/>
      <c r="B393" s="229" t="s">
        <v>399</v>
      </c>
      <c r="C393" s="38"/>
      <c r="D393" s="33">
        <v>137</v>
      </c>
      <c r="E393" s="33">
        <v>1</v>
      </c>
      <c r="F393" s="33"/>
      <c r="G393" s="260">
        <v>0.154</v>
      </c>
      <c r="H393" s="33">
        <f t="shared" si="14"/>
        <v>21.1</v>
      </c>
    </row>
    <row r="394" spans="1:8" s="30" customFormat="1" x14ac:dyDescent="0.2">
      <c r="A394" s="31"/>
      <c r="B394" s="229" t="s">
        <v>400</v>
      </c>
      <c r="C394" s="38"/>
      <c r="D394" s="33">
        <v>137</v>
      </c>
      <c r="E394" s="33">
        <v>1</v>
      </c>
      <c r="F394" s="33"/>
      <c r="G394" s="260">
        <v>0.154</v>
      </c>
      <c r="H394" s="33">
        <f t="shared" si="14"/>
        <v>21.1</v>
      </c>
    </row>
    <row r="395" spans="1:8" s="30" customFormat="1" x14ac:dyDescent="0.2">
      <c r="A395" s="31"/>
      <c r="B395" s="229" t="s">
        <v>401</v>
      </c>
      <c r="C395" s="38"/>
      <c r="D395" s="33">
        <v>137</v>
      </c>
      <c r="E395" s="33">
        <v>1</v>
      </c>
      <c r="F395" s="33"/>
      <c r="G395" s="260">
        <v>0.154</v>
      </c>
      <c r="H395" s="33">
        <f t="shared" si="14"/>
        <v>21.1</v>
      </c>
    </row>
    <row r="396" spans="1:8" s="30" customFormat="1" x14ac:dyDescent="0.2">
      <c r="A396" s="31"/>
      <c r="B396" s="229" t="s">
        <v>402</v>
      </c>
      <c r="C396" s="38"/>
      <c r="D396" s="33">
        <v>22</v>
      </c>
      <c r="E396" s="33">
        <v>1</v>
      </c>
      <c r="F396" s="33"/>
      <c r="G396" s="260">
        <v>0.154</v>
      </c>
      <c r="H396" s="33">
        <f t="shared" si="14"/>
        <v>3.39</v>
      </c>
    </row>
    <row r="397" spans="1:8" s="30" customFormat="1" x14ac:dyDescent="0.2">
      <c r="A397" s="31"/>
      <c r="B397" s="229" t="s">
        <v>403</v>
      </c>
      <c r="C397" s="38"/>
      <c r="D397" s="33">
        <v>249</v>
      </c>
      <c r="E397" s="33">
        <v>1</v>
      </c>
      <c r="F397" s="33"/>
      <c r="G397" s="260">
        <v>0.154</v>
      </c>
      <c r="H397" s="33">
        <f t="shared" si="14"/>
        <v>38.35</v>
      </c>
    </row>
    <row r="398" spans="1:8" s="30" customFormat="1" x14ac:dyDescent="0.2">
      <c r="A398" s="31"/>
      <c r="B398" s="229" t="s">
        <v>404</v>
      </c>
      <c r="C398" s="38"/>
      <c r="D398" s="33">
        <f t="shared" ref="D398" si="16">E398/0.1</f>
        <v>10</v>
      </c>
      <c r="E398" s="33">
        <v>1</v>
      </c>
      <c r="F398" s="33"/>
      <c r="G398" s="260">
        <v>0.154</v>
      </c>
      <c r="H398" s="33">
        <f t="shared" si="14"/>
        <v>1.54</v>
      </c>
    </row>
    <row r="399" spans="1:8" s="30" customFormat="1" x14ac:dyDescent="0.2">
      <c r="A399" s="31"/>
      <c r="B399" s="229" t="s">
        <v>405</v>
      </c>
      <c r="C399" s="38"/>
      <c r="D399" s="33">
        <v>249</v>
      </c>
      <c r="E399" s="33">
        <v>1</v>
      </c>
      <c r="F399" s="33"/>
      <c r="G399" s="260">
        <v>0.154</v>
      </c>
      <c r="H399" s="33">
        <f t="shared" si="14"/>
        <v>38.35</v>
      </c>
    </row>
    <row r="400" spans="1:8" s="30" customFormat="1" x14ac:dyDescent="0.2">
      <c r="A400" s="31"/>
      <c r="B400" s="229" t="s">
        <v>406</v>
      </c>
      <c r="C400" s="38"/>
      <c r="D400" s="33">
        <f t="shared" ref="D400" si="17">E400/0.1</f>
        <v>10</v>
      </c>
      <c r="E400" s="33">
        <v>1</v>
      </c>
      <c r="F400" s="33"/>
      <c r="G400" s="260">
        <v>0.154</v>
      </c>
      <c r="H400" s="33">
        <f t="shared" si="14"/>
        <v>1.54</v>
      </c>
    </row>
    <row r="401" spans="1:8" s="30" customFormat="1" x14ac:dyDescent="0.2">
      <c r="A401" s="31"/>
      <c r="B401" s="229" t="s">
        <v>407</v>
      </c>
      <c r="C401" s="38"/>
      <c r="D401" s="33">
        <v>102</v>
      </c>
      <c r="E401" s="33">
        <v>1</v>
      </c>
      <c r="F401" s="33"/>
      <c r="G401" s="260">
        <v>0.154</v>
      </c>
      <c r="H401" s="33">
        <f t="shared" si="14"/>
        <v>15.71</v>
      </c>
    </row>
    <row r="402" spans="1:8" s="30" customFormat="1" x14ac:dyDescent="0.2">
      <c r="A402" s="31"/>
      <c r="B402" s="229" t="s">
        <v>408</v>
      </c>
      <c r="C402" s="38"/>
      <c r="D402" s="33">
        <v>139</v>
      </c>
      <c r="E402" s="33">
        <v>1</v>
      </c>
      <c r="F402" s="33"/>
      <c r="G402" s="260">
        <v>0.154</v>
      </c>
      <c r="H402" s="33">
        <f t="shared" si="14"/>
        <v>21.41</v>
      </c>
    </row>
    <row r="403" spans="1:8" s="30" customFormat="1" x14ac:dyDescent="0.2">
      <c r="A403" s="31"/>
      <c r="B403" s="229" t="s">
        <v>409</v>
      </c>
      <c r="C403" s="38"/>
      <c r="D403" s="33">
        <v>139</v>
      </c>
      <c r="E403" s="33">
        <v>1</v>
      </c>
      <c r="F403" s="33"/>
      <c r="G403" s="260">
        <v>0.154</v>
      </c>
      <c r="H403" s="33">
        <f t="shared" si="14"/>
        <v>21.41</v>
      </c>
    </row>
    <row r="404" spans="1:8" s="30" customFormat="1" x14ac:dyDescent="0.2">
      <c r="A404" s="31"/>
      <c r="B404" s="229" t="s">
        <v>410</v>
      </c>
      <c r="C404" s="38"/>
      <c r="D404" s="33">
        <v>137</v>
      </c>
      <c r="E404" s="33">
        <v>1</v>
      </c>
      <c r="F404" s="33"/>
      <c r="G404" s="260">
        <v>0.154</v>
      </c>
      <c r="H404" s="33">
        <f t="shared" si="14"/>
        <v>21.1</v>
      </c>
    </row>
    <row r="405" spans="1:8" s="30" customFormat="1" x14ac:dyDescent="0.2">
      <c r="A405" s="31"/>
      <c r="B405" s="229" t="s">
        <v>411</v>
      </c>
      <c r="C405" s="38"/>
      <c r="D405" s="33">
        <v>22</v>
      </c>
      <c r="E405" s="33">
        <v>1</v>
      </c>
      <c r="F405" s="33"/>
      <c r="G405" s="260">
        <v>0.154</v>
      </c>
      <c r="H405" s="33">
        <f t="shared" si="14"/>
        <v>3.39</v>
      </c>
    </row>
    <row r="406" spans="1:8" s="30" customFormat="1" x14ac:dyDescent="0.2">
      <c r="A406" s="31"/>
      <c r="B406" s="229" t="s">
        <v>412</v>
      </c>
      <c r="C406" s="38"/>
      <c r="D406" s="33">
        <v>22</v>
      </c>
      <c r="E406" s="33">
        <v>1</v>
      </c>
      <c r="F406" s="33"/>
      <c r="G406" s="260">
        <v>0.154</v>
      </c>
      <c r="H406" s="33">
        <f t="shared" si="14"/>
        <v>3.39</v>
      </c>
    </row>
    <row r="407" spans="1:8" s="30" customFormat="1" x14ac:dyDescent="0.2">
      <c r="A407" s="31"/>
      <c r="B407" s="229" t="s">
        <v>413</v>
      </c>
      <c r="C407" s="38"/>
      <c r="D407" s="33">
        <v>22</v>
      </c>
      <c r="E407" s="33">
        <v>1</v>
      </c>
      <c r="F407" s="33"/>
      <c r="G407" s="260">
        <v>0.154</v>
      </c>
      <c r="H407" s="33">
        <f t="shared" si="14"/>
        <v>3.39</v>
      </c>
    </row>
    <row r="408" spans="1:8" s="30" customFormat="1" x14ac:dyDescent="0.2">
      <c r="A408" s="31"/>
      <c r="B408" s="229" t="s">
        <v>414</v>
      </c>
      <c r="C408" s="38"/>
      <c r="D408" s="33">
        <v>137</v>
      </c>
      <c r="E408" s="33">
        <v>1</v>
      </c>
      <c r="F408" s="33"/>
      <c r="G408" s="260">
        <v>0.154</v>
      </c>
      <c r="H408" s="33">
        <f t="shared" si="14"/>
        <v>21.1</v>
      </c>
    </row>
    <row r="409" spans="1:8" s="30" customFormat="1" x14ac:dyDescent="0.2">
      <c r="A409" s="31"/>
      <c r="B409" s="229" t="s">
        <v>415</v>
      </c>
      <c r="C409" s="38"/>
      <c r="D409" s="33">
        <v>22</v>
      </c>
      <c r="E409" s="33">
        <v>1</v>
      </c>
      <c r="F409" s="33"/>
      <c r="G409" s="260">
        <v>0.154</v>
      </c>
      <c r="H409" s="33">
        <f t="shared" si="14"/>
        <v>3.39</v>
      </c>
    </row>
    <row r="410" spans="1:8" s="30" customFormat="1" x14ac:dyDescent="0.2">
      <c r="A410" s="31"/>
      <c r="B410" s="229" t="s">
        <v>416</v>
      </c>
      <c r="C410" s="38"/>
      <c r="D410" s="33">
        <v>120</v>
      </c>
      <c r="E410" s="33">
        <v>1</v>
      </c>
      <c r="F410" s="33"/>
      <c r="G410" s="260">
        <v>0.154</v>
      </c>
      <c r="H410" s="33">
        <f t="shared" si="14"/>
        <v>18.48</v>
      </c>
    </row>
    <row r="411" spans="1:8" s="30" customFormat="1" x14ac:dyDescent="0.2">
      <c r="A411" s="31"/>
      <c r="B411" s="39" t="str">
        <f>"Total item "&amp;A373</f>
        <v>Total item 5.5</v>
      </c>
      <c r="C411" s="38"/>
      <c r="D411" s="33"/>
      <c r="E411" s="33"/>
      <c r="F411" s="33"/>
      <c r="G411" s="33"/>
      <c r="H411" s="19">
        <f>SUM(H374:H410)</f>
        <v>733.63</v>
      </c>
    </row>
    <row r="412" spans="1:8" s="30" customFormat="1" x14ac:dyDescent="0.2">
      <c r="A412" s="31"/>
      <c r="B412" s="223"/>
      <c r="C412" s="32"/>
      <c r="D412" s="224"/>
      <c r="E412" s="224"/>
      <c r="F412" s="224"/>
      <c r="G412" s="224"/>
      <c r="H412" s="224"/>
    </row>
    <row r="413" spans="1:8" s="30" customFormat="1" ht="60" customHeight="1" x14ac:dyDescent="0.2">
      <c r="A413" s="225" t="s">
        <v>450</v>
      </c>
      <c r="B413" s="243" t="s">
        <v>324</v>
      </c>
      <c r="C413" s="227" t="s">
        <v>268</v>
      </c>
      <c r="D413" s="19"/>
      <c r="E413" s="19"/>
      <c r="F413" s="19"/>
      <c r="G413" s="19" t="s">
        <v>462</v>
      </c>
      <c r="H413" s="19"/>
    </row>
    <row r="414" spans="1:8" s="30" customFormat="1" ht="22.5" x14ac:dyDescent="0.2">
      <c r="A414" s="31"/>
      <c r="B414" s="39" t="s">
        <v>266</v>
      </c>
      <c r="C414" s="38"/>
      <c r="D414" s="242"/>
      <c r="E414" s="242"/>
      <c r="F414" s="33"/>
      <c r="G414" s="33"/>
      <c r="H414" s="33"/>
    </row>
    <row r="415" spans="1:8" s="30" customFormat="1" x14ac:dyDescent="0.2">
      <c r="A415" s="31"/>
      <c r="B415" s="39" t="s">
        <v>325</v>
      </c>
      <c r="C415" s="38"/>
      <c r="D415" s="33"/>
      <c r="E415" s="33"/>
      <c r="F415" s="33"/>
      <c r="G415" s="33"/>
      <c r="H415" s="33"/>
    </row>
    <row r="416" spans="1:8" s="30" customFormat="1" x14ac:dyDescent="0.2">
      <c r="A416" s="31"/>
      <c r="B416" s="229"/>
      <c r="C416" s="38"/>
      <c r="D416" s="33">
        <v>100</v>
      </c>
      <c r="E416" s="33">
        <v>3.44</v>
      </c>
      <c r="F416" s="33"/>
      <c r="G416" s="260">
        <v>0.245</v>
      </c>
      <c r="H416" s="33">
        <f t="shared" ref="H416:H417" si="18">ROUND(PRODUCT(D416:G416),2)</f>
        <v>84.28</v>
      </c>
    </row>
    <row r="417" spans="1:8" s="30" customFormat="1" x14ac:dyDescent="0.2">
      <c r="A417" s="31"/>
      <c r="B417" s="229"/>
      <c r="C417" s="38"/>
      <c r="D417" s="33">
        <v>60</v>
      </c>
      <c r="E417" s="33">
        <v>2.2000000000000002</v>
      </c>
      <c r="F417" s="33"/>
      <c r="G417" s="260">
        <v>0.245</v>
      </c>
      <c r="H417" s="33">
        <f t="shared" si="18"/>
        <v>32.340000000000003</v>
      </c>
    </row>
    <row r="418" spans="1:8" s="30" customFormat="1" x14ac:dyDescent="0.2">
      <c r="A418" s="31"/>
      <c r="B418" s="39" t="str">
        <f>"Total item "&amp;A413</f>
        <v>Total item 5.6</v>
      </c>
      <c r="C418" s="38"/>
      <c r="D418" s="33"/>
      <c r="E418" s="33"/>
      <c r="F418" s="33"/>
      <c r="G418" s="33"/>
      <c r="H418" s="19">
        <f>SUM(H416:H417)</f>
        <v>116.62</v>
      </c>
    </row>
    <row r="419" spans="1:8" s="30" customFormat="1" x14ac:dyDescent="0.2">
      <c r="A419" s="31"/>
      <c r="B419" s="223"/>
      <c r="C419" s="32"/>
      <c r="D419" s="224"/>
      <c r="E419" s="224"/>
      <c r="F419" s="224"/>
      <c r="G419" s="224"/>
      <c r="H419" s="224"/>
    </row>
    <row r="420" spans="1:8" s="30" customFormat="1" ht="56.25" customHeight="1" x14ac:dyDescent="0.2">
      <c r="A420" s="225" t="s">
        <v>451</v>
      </c>
      <c r="B420" s="243" t="s">
        <v>319</v>
      </c>
      <c r="C420" s="227" t="s">
        <v>106</v>
      </c>
      <c r="D420" s="19"/>
      <c r="E420" s="19"/>
      <c r="F420" s="19"/>
      <c r="G420" s="19"/>
      <c r="H420" s="19"/>
    </row>
    <row r="421" spans="1:8" s="30" customFormat="1" x14ac:dyDescent="0.2">
      <c r="A421" s="31"/>
      <c r="B421" s="39" t="s">
        <v>507</v>
      </c>
      <c r="C421" s="38"/>
      <c r="D421" s="33"/>
      <c r="E421" s="33"/>
      <c r="F421" s="33"/>
      <c r="G421" s="33"/>
      <c r="H421" s="33"/>
    </row>
    <row r="422" spans="1:8" s="30" customFormat="1" x14ac:dyDescent="0.2">
      <c r="A422" s="31"/>
      <c r="B422" s="229" t="s">
        <v>556</v>
      </c>
      <c r="C422" s="38"/>
      <c r="D422" s="33">
        <v>8</v>
      </c>
      <c r="E422" s="33">
        <v>0.2</v>
      </c>
      <c r="F422" s="33">
        <v>0.3</v>
      </c>
      <c r="G422" s="33">
        <v>6.08</v>
      </c>
      <c r="H422" s="33">
        <f t="shared" ref="H422:H456" si="19">ROUND(PRODUCT(D422:G422),2)</f>
        <v>2.92</v>
      </c>
    </row>
    <row r="423" spans="1:8" s="30" customFormat="1" x14ac:dyDescent="0.2">
      <c r="A423" s="31"/>
      <c r="B423" s="229" t="s">
        <v>542</v>
      </c>
      <c r="C423" s="38"/>
      <c r="D423" s="33">
        <v>2</v>
      </c>
      <c r="E423" s="33">
        <v>0.2</v>
      </c>
      <c r="F423" s="33">
        <v>0.3</v>
      </c>
      <c r="G423" s="33">
        <v>3.45</v>
      </c>
      <c r="H423" s="33">
        <f t="shared" si="19"/>
        <v>0.41</v>
      </c>
    </row>
    <row r="424" spans="1:8" s="30" customFormat="1" x14ac:dyDescent="0.2">
      <c r="A424" s="31"/>
      <c r="B424" s="39" t="s">
        <v>508</v>
      </c>
      <c r="C424" s="38"/>
      <c r="D424" s="33"/>
      <c r="E424" s="33"/>
      <c r="F424" s="33"/>
      <c r="G424" s="33"/>
      <c r="H424" s="33"/>
    </row>
    <row r="425" spans="1:8" s="30" customFormat="1" x14ac:dyDescent="0.2">
      <c r="A425" s="31"/>
      <c r="B425" s="229" t="s">
        <v>557</v>
      </c>
      <c r="C425" s="38"/>
      <c r="D425" s="33">
        <v>4</v>
      </c>
      <c r="E425" s="33">
        <v>0.15</v>
      </c>
      <c r="F425" s="33">
        <v>0.3</v>
      </c>
      <c r="G425" s="33">
        <v>6.08</v>
      </c>
      <c r="H425" s="33">
        <f t="shared" si="19"/>
        <v>1.0900000000000001</v>
      </c>
    </row>
    <row r="426" spans="1:8" s="30" customFormat="1" x14ac:dyDescent="0.2">
      <c r="A426" s="31"/>
      <c r="B426" s="39" t="s">
        <v>506</v>
      </c>
      <c r="C426" s="38"/>
      <c r="D426" s="33"/>
      <c r="E426" s="33"/>
      <c r="F426" s="33"/>
      <c r="G426" s="33"/>
      <c r="H426" s="33"/>
    </row>
    <row r="427" spans="1:8" s="30" customFormat="1" x14ac:dyDescent="0.2">
      <c r="A427" s="31"/>
      <c r="B427" s="229" t="s">
        <v>558</v>
      </c>
      <c r="C427" s="38"/>
      <c r="D427" s="33">
        <v>9</v>
      </c>
      <c r="E427" s="33">
        <v>0.2</v>
      </c>
      <c r="F427" s="33">
        <v>0.4</v>
      </c>
      <c r="G427" s="33">
        <v>6.08</v>
      </c>
      <c r="H427" s="33">
        <f t="shared" si="19"/>
        <v>4.38</v>
      </c>
    </row>
    <row r="428" spans="1:8" s="30" customFormat="1" x14ac:dyDescent="0.2">
      <c r="A428" s="31"/>
      <c r="B428" s="229" t="s">
        <v>543</v>
      </c>
      <c r="C428" s="38"/>
      <c r="D428" s="33">
        <v>1</v>
      </c>
      <c r="E428" s="33">
        <v>0.2</v>
      </c>
      <c r="F428" s="33">
        <v>0.4</v>
      </c>
      <c r="G428" s="33">
        <v>3.45</v>
      </c>
      <c r="H428" s="33">
        <f t="shared" si="19"/>
        <v>0.28000000000000003</v>
      </c>
    </row>
    <row r="429" spans="1:8" s="30" customFormat="1" x14ac:dyDescent="0.2">
      <c r="A429" s="31"/>
      <c r="B429" s="39" t="s">
        <v>509</v>
      </c>
      <c r="C429" s="38"/>
      <c r="D429" s="33"/>
      <c r="E429" s="33"/>
      <c r="F429" s="33"/>
      <c r="G429" s="33"/>
      <c r="H429" s="33"/>
    </row>
    <row r="430" spans="1:8" s="30" customFormat="1" x14ac:dyDescent="0.2">
      <c r="A430" s="31"/>
      <c r="B430" s="229" t="s">
        <v>560</v>
      </c>
      <c r="C430" s="38"/>
      <c r="D430" s="33">
        <v>4</v>
      </c>
      <c r="E430" s="33">
        <v>0.2</v>
      </c>
      <c r="F430" s="33">
        <v>0.5</v>
      </c>
      <c r="G430" s="33">
        <v>3.45</v>
      </c>
      <c r="H430" s="33">
        <f t="shared" si="19"/>
        <v>1.38</v>
      </c>
    </row>
    <row r="431" spans="1:8" s="30" customFormat="1" x14ac:dyDescent="0.2">
      <c r="A431" s="31"/>
      <c r="B431" s="229" t="s">
        <v>559</v>
      </c>
      <c r="C431" s="38"/>
      <c r="D431" s="33">
        <v>5</v>
      </c>
      <c r="E431" s="33">
        <v>0.2</v>
      </c>
      <c r="F431" s="33">
        <v>0.5</v>
      </c>
      <c r="G431" s="33">
        <v>6.08</v>
      </c>
      <c r="H431" s="33">
        <f t="shared" si="19"/>
        <v>3.04</v>
      </c>
    </row>
    <row r="432" spans="1:8" s="30" customFormat="1" x14ac:dyDescent="0.2">
      <c r="A432" s="31"/>
      <c r="B432" s="229"/>
      <c r="C432" s="38"/>
      <c r="D432" s="33"/>
      <c r="E432" s="33"/>
      <c r="F432" s="33"/>
      <c r="G432" s="33"/>
      <c r="H432" s="33"/>
    </row>
    <row r="433" spans="1:8" s="30" customFormat="1" x14ac:dyDescent="0.2">
      <c r="A433" s="31"/>
      <c r="B433" s="39" t="s">
        <v>544</v>
      </c>
      <c r="C433" s="38"/>
      <c r="D433" s="33"/>
      <c r="E433" s="33"/>
      <c r="F433" s="33"/>
      <c r="G433" s="33"/>
      <c r="H433" s="33"/>
    </row>
    <row r="434" spans="1:8" s="30" customFormat="1" x14ac:dyDescent="0.2">
      <c r="A434" s="31"/>
      <c r="B434" s="229" t="s">
        <v>394</v>
      </c>
      <c r="C434" s="38"/>
      <c r="D434" s="33"/>
      <c r="E434" s="33">
        <v>13.85</v>
      </c>
      <c r="F434" s="33">
        <v>0.2</v>
      </c>
      <c r="G434" s="33">
        <v>0.4</v>
      </c>
      <c r="H434" s="33">
        <f t="shared" si="19"/>
        <v>1.1100000000000001</v>
      </c>
    </row>
    <row r="435" spans="1:8" s="30" customFormat="1" x14ac:dyDescent="0.2">
      <c r="A435" s="31"/>
      <c r="B435" s="229" t="s">
        <v>395</v>
      </c>
      <c r="C435" s="38"/>
      <c r="D435" s="33"/>
      <c r="E435" s="33">
        <v>13.85</v>
      </c>
      <c r="F435" s="33">
        <v>0.2</v>
      </c>
      <c r="G435" s="33">
        <v>0.5</v>
      </c>
      <c r="H435" s="33">
        <f t="shared" si="19"/>
        <v>1.39</v>
      </c>
    </row>
    <row r="436" spans="1:8" s="30" customFormat="1" x14ac:dyDescent="0.2">
      <c r="A436" s="31"/>
      <c r="B436" s="229" t="s">
        <v>396</v>
      </c>
      <c r="C436" s="38"/>
      <c r="D436" s="33"/>
      <c r="E436" s="33">
        <v>13.85</v>
      </c>
      <c r="F436" s="33">
        <v>0.2</v>
      </c>
      <c r="G436" s="33">
        <v>0.6</v>
      </c>
      <c r="H436" s="33">
        <f t="shared" si="19"/>
        <v>1.66</v>
      </c>
    </row>
    <row r="437" spans="1:8" s="30" customFormat="1" x14ac:dyDescent="0.2">
      <c r="A437" s="31"/>
      <c r="B437" s="229" t="s">
        <v>397</v>
      </c>
      <c r="C437" s="38"/>
      <c r="D437" s="33"/>
      <c r="E437" s="33">
        <f>6.85+6.8+6.85</f>
        <v>20.5</v>
      </c>
      <c r="F437" s="33">
        <v>0.2</v>
      </c>
      <c r="G437" s="33">
        <v>0.5</v>
      </c>
      <c r="H437" s="33">
        <f t="shared" si="19"/>
        <v>2.0499999999999998</v>
      </c>
    </row>
    <row r="438" spans="1:8" s="30" customFormat="1" x14ac:dyDescent="0.2">
      <c r="A438" s="31"/>
      <c r="B438" s="229" t="s">
        <v>398</v>
      </c>
      <c r="C438" s="38"/>
      <c r="D438" s="33"/>
      <c r="E438" s="33">
        <f>6.85+6.8+6.85</f>
        <v>20.5</v>
      </c>
      <c r="F438" s="33">
        <v>0.2</v>
      </c>
      <c r="G438" s="33">
        <v>0.4</v>
      </c>
      <c r="H438" s="33">
        <f t="shared" si="19"/>
        <v>1.64</v>
      </c>
    </row>
    <row r="439" spans="1:8" s="30" customFormat="1" x14ac:dyDescent="0.2">
      <c r="A439" s="31"/>
      <c r="B439" s="229" t="s">
        <v>399</v>
      </c>
      <c r="C439" s="38"/>
      <c r="D439" s="33"/>
      <c r="E439" s="33">
        <v>13.7</v>
      </c>
      <c r="F439" s="33">
        <v>0.2</v>
      </c>
      <c r="G439" s="33">
        <v>0.4</v>
      </c>
      <c r="H439" s="33">
        <f t="shared" si="19"/>
        <v>1.1000000000000001</v>
      </c>
    </row>
    <row r="440" spans="1:8" s="30" customFormat="1" x14ac:dyDescent="0.2">
      <c r="A440" s="31"/>
      <c r="B440" s="229" t="s">
        <v>400</v>
      </c>
      <c r="C440" s="38"/>
      <c r="D440" s="33"/>
      <c r="E440" s="33">
        <v>13.7</v>
      </c>
      <c r="F440" s="33">
        <v>0.2</v>
      </c>
      <c r="G440" s="33">
        <v>0.4</v>
      </c>
      <c r="H440" s="33">
        <f t="shared" si="19"/>
        <v>1.1000000000000001</v>
      </c>
    </row>
    <row r="441" spans="1:8" s="30" customFormat="1" x14ac:dyDescent="0.2">
      <c r="A441" s="31"/>
      <c r="B441" s="229" t="s">
        <v>401</v>
      </c>
      <c r="C441" s="38"/>
      <c r="D441" s="33"/>
      <c r="E441" s="33">
        <v>14.24</v>
      </c>
      <c r="F441" s="33">
        <v>0.2</v>
      </c>
      <c r="G441" s="33">
        <v>0.4</v>
      </c>
      <c r="H441" s="33">
        <f t="shared" si="19"/>
        <v>1.1399999999999999</v>
      </c>
    </row>
    <row r="442" spans="1:8" s="30" customFormat="1" x14ac:dyDescent="0.2">
      <c r="A442" s="31"/>
      <c r="B442" s="229" t="s">
        <v>402</v>
      </c>
      <c r="C442" s="38"/>
      <c r="D442" s="33"/>
      <c r="E442" s="33">
        <v>1.9</v>
      </c>
      <c r="F442" s="33">
        <v>0.15</v>
      </c>
      <c r="G442" s="33">
        <v>0.4</v>
      </c>
      <c r="H442" s="33">
        <f t="shared" si="19"/>
        <v>0.11</v>
      </c>
    </row>
    <row r="443" spans="1:8" s="30" customFormat="1" x14ac:dyDescent="0.2">
      <c r="A443" s="31"/>
      <c r="B443" s="229" t="s">
        <v>403</v>
      </c>
      <c r="C443" s="38"/>
      <c r="D443" s="33"/>
      <c r="E443" s="33">
        <v>24.85</v>
      </c>
      <c r="F443" s="33">
        <v>0.2</v>
      </c>
      <c r="G443" s="33">
        <v>0.4</v>
      </c>
      <c r="H443" s="33">
        <f t="shared" si="19"/>
        <v>1.99</v>
      </c>
    </row>
    <row r="444" spans="1:8" s="30" customFormat="1" x14ac:dyDescent="0.2">
      <c r="A444" s="31"/>
      <c r="B444" s="229" t="s">
        <v>404</v>
      </c>
      <c r="C444" s="38"/>
      <c r="D444" s="33"/>
      <c r="E444" s="33">
        <v>1.9</v>
      </c>
      <c r="F444" s="33">
        <v>0.15</v>
      </c>
      <c r="G444" s="33">
        <v>0.4</v>
      </c>
      <c r="H444" s="33">
        <f t="shared" si="19"/>
        <v>0.11</v>
      </c>
    </row>
    <row r="445" spans="1:8" s="30" customFormat="1" x14ac:dyDescent="0.2">
      <c r="A445" s="31"/>
      <c r="B445" s="229" t="s">
        <v>405</v>
      </c>
      <c r="C445" s="38"/>
      <c r="D445" s="33"/>
      <c r="E445" s="33">
        <v>24.85</v>
      </c>
      <c r="F445" s="33">
        <v>0.2</v>
      </c>
      <c r="G445" s="33">
        <v>0.4</v>
      </c>
      <c r="H445" s="33">
        <f t="shared" si="19"/>
        <v>1.99</v>
      </c>
    </row>
    <row r="446" spans="1:8" s="30" customFormat="1" x14ac:dyDescent="0.2">
      <c r="A446" s="31"/>
      <c r="B446" s="229" t="s">
        <v>406</v>
      </c>
      <c r="C446" s="38"/>
      <c r="D446" s="33"/>
      <c r="E446" s="33">
        <v>1.9</v>
      </c>
      <c r="F446" s="33">
        <v>0.15</v>
      </c>
      <c r="G446" s="33">
        <v>0.4</v>
      </c>
      <c r="H446" s="33">
        <f t="shared" si="19"/>
        <v>0.11</v>
      </c>
    </row>
    <row r="447" spans="1:8" s="30" customFormat="1" x14ac:dyDescent="0.2">
      <c r="A447" s="31"/>
      <c r="B447" s="229" t="s">
        <v>407</v>
      </c>
      <c r="C447" s="38"/>
      <c r="D447" s="33"/>
      <c r="E447" s="33">
        <v>11.65</v>
      </c>
      <c r="F447" s="33">
        <v>0.2</v>
      </c>
      <c r="G447" s="33">
        <v>0.4</v>
      </c>
      <c r="H447" s="33">
        <f t="shared" si="19"/>
        <v>0.93</v>
      </c>
    </row>
    <row r="448" spans="1:8" s="30" customFormat="1" x14ac:dyDescent="0.2">
      <c r="A448" s="31"/>
      <c r="B448" s="229" t="s">
        <v>408</v>
      </c>
      <c r="C448" s="38"/>
      <c r="D448" s="33"/>
      <c r="E448" s="33">
        <v>13.85</v>
      </c>
      <c r="F448" s="33">
        <v>0.2</v>
      </c>
      <c r="G448" s="33">
        <v>0.4</v>
      </c>
      <c r="H448" s="33">
        <f t="shared" si="19"/>
        <v>1.1100000000000001</v>
      </c>
    </row>
    <row r="449" spans="1:8" s="30" customFormat="1" x14ac:dyDescent="0.2">
      <c r="A449" s="31"/>
      <c r="B449" s="229" t="s">
        <v>409</v>
      </c>
      <c r="C449" s="38"/>
      <c r="D449" s="33"/>
      <c r="E449" s="33">
        <f>6.85+6.8+6.85</f>
        <v>20.5</v>
      </c>
      <c r="F449" s="33">
        <v>0.2</v>
      </c>
      <c r="G449" s="33">
        <v>0.5</v>
      </c>
      <c r="H449" s="33">
        <f t="shared" si="19"/>
        <v>2.0499999999999998</v>
      </c>
    </row>
    <row r="450" spans="1:8" s="30" customFormat="1" x14ac:dyDescent="0.2">
      <c r="A450" s="31"/>
      <c r="B450" s="229" t="s">
        <v>410</v>
      </c>
      <c r="C450" s="38"/>
      <c r="D450" s="33"/>
      <c r="E450" s="33">
        <v>13.85</v>
      </c>
      <c r="F450" s="33">
        <v>0.2</v>
      </c>
      <c r="G450" s="33">
        <v>0.4</v>
      </c>
      <c r="H450" s="33">
        <f t="shared" si="19"/>
        <v>1.1100000000000001</v>
      </c>
    </row>
    <row r="451" spans="1:8" s="30" customFormat="1" x14ac:dyDescent="0.2">
      <c r="A451" s="31"/>
      <c r="B451" s="229" t="s">
        <v>411</v>
      </c>
      <c r="C451" s="38"/>
      <c r="D451" s="33"/>
      <c r="E451" s="33">
        <v>1.55</v>
      </c>
      <c r="F451" s="33">
        <v>0.15</v>
      </c>
      <c r="G451" s="33">
        <v>0.4</v>
      </c>
      <c r="H451" s="33">
        <f t="shared" si="19"/>
        <v>0.09</v>
      </c>
    </row>
    <row r="452" spans="1:8" s="30" customFormat="1" x14ac:dyDescent="0.2">
      <c r="A452" s="31"/>
      <c r="B452" s="229" t="s">
        <v>412</v>
      </c>
      <c r="C452" s="38"/>
      <c r="D452" s="33"/>
      <c r="E452" s="33">
        <v>1.55</v>
      </c>
      <c r="F452" s="33">
        <v>0.2</v>
      </c>
      <c r="G452" s="33">
        <v>0.4</v>
      </c>
      <c r="H452" s="33">
        <f t="shared" si="19"/>
        <v>0.12</v>
      </c>
    </row>
    <row r="453" spans="1:8" s="30" customFormat="1" x14ac:dyDescent="0.2">
      <c r="A453" s="31"/>
      <c r="B453" s="229" t="s">
        <v>413</v>
      </c>
      <c r="C453" s="38"/>
      <c r="D453" s="33"/>
      <c r="E453" s="33">
        <v>1.55</v>
      </c>
      <c r="F453" s="33">
        <v>0.15</v>
      </c>
      <c r="G453" s="33">
        <v>0.4</v>
      </c>
      <c r="H453" s="33">
        <f t="shared" si="19"/>
        <v>0.09</v>
      </c>
    </row>
    <row r="454" spans="1:8" s="30" customFormat="1" x14ac:dyDescent="0.2">
      <c r="A454" s="31"/>
      <c r="B454" s="229" t="s">
        <v>414</v>
      </c>
      <c r="C454" s="38"/>
      <c r="D454" s="33"/>
      <c r="E454" s="33">
        <v>14.24</v>
      </c>
      <c r="F454" s="33">
        <v>0.2</v>
      </c>
      <c r="G454" s="33">
        <v>0.4</v>
      </c>
      <c r="H454" s="33">
        <f t="shared" si="19"/>
        <v>1.1399999999999999</v>
      </c>
    </row>
    <row r="455" spans="1:8" s="30" customFormat="1" x14ac:dyDescent="0.2">
      <c r="A455" s="31"/>
      <c r="B455" s="229" t="s">
        <v>415</v>
      </c>
      <c r="C455" s="38"/>
      <c r="D455" s="33"/>
      <c r="E455" s="33">
        <v>1.85</v>
      </c>
      <c r="F455" s="33">
        <v>0.15</v>
      </c>
      <c r="G455" s="33">
        <v>0.4</v>
      </c>
      <c r="H455" s="33">
        <f t="shared" si="19"/>
        <v>0.11</v>
      </c>
    </row>
    <row r="456" spans="1:8" s="30" customFormat="1" x14ac:dyDescent="0.2">
      <c r="A456" s="31"/>
      <c r="B456" s="229" t="s">
        <v>416</v>
      </c>
      <c r="C456" s="38"/>
      <c r="D456" s="33"/>
      <c r="E456" s="33">
        <v>11.65</v>
      </c>
      <c r="F456" s="33">
        <v>0.2</v>
      </c>
      <c r="G456" s="33">
        <v>0.4</v>
      </c>
      <c r="H456" s="33">
        <f t="shared" si="19"/>
        <v>0.93</v>
      </c>
    </row>
    <row r="457" spans="1:8" s="30" customFormat="1" x14ac:dyDescent="0.2">
      <c r="A457" s="31"/>
      <c r="B457" s="39" t="str">
        <f>"Total item "&amp;A420</f>
        <v>Total item 5.7</v>
      </c>
      <c r="C457" s="38"/>
      <c r="D457" s="33"/>
      <c r="E457" s="33"/>
      <c r="F457" s="33"/>
      <c r="G457" s="33"/>
      <c r="H457" s="19">
        <f>SUM(H421:H456)</f>
        <v>36.68</v>
      </c>
    </row>
    <row r="458" spans="1:8" s="265" customFormat="1" x14ac:dyDescent="0.2">
      <c r="A458" s="238"/>
      <c r="B458" s="239"/>
      <c r="C458" s="240"/>
      <c r="D458" s="236"/>
      <c r="E458" s="236"/>
      <c r="F458" s="236"/>
      <c r="G458" s="236"/>
      <c r="H458" s="236"/>
    </row>
    <row r="459" spans="1:8" s="30" customFormat="1" ht="56.25" customHeight="1" x14ac:dyDescent="0.2">
      <c r="A459" s="225" t="s">
        <v>452</v>
      </c>
      <c r="B459" s="243" t="s">
        <v>278</v>
      </c>
      <c r="C459" s="227" t="s">
        <v>106</v>
      </c>
      <c r="D459" s="19"/>
      <c r="E459" s="19"/>
      <c r="F459" s="19"/>
      <c r="G459" s="19"/>
      <c r="H459" s="19"/>
    </row>
    <row r="460" spans="1:8" s="30" customFormat="1" x14ac:dyDescent="0.2">
      <c r="A460" s="31"/>
      <c r="B460" s="229" t="s">
        <v>275</v>
      </c>
      <c r="C460" s="38"/>
      <c r="D460" s="33"/>
      <c r="E460" s="33">
        <f>H457</f>
        <v>36.68</v>
      </c>
      <c r="F460" s="33"/>
      <c r="G460" s="33"/>
      <c r="H460" s="33">
        <f>ROUND(PRODUCT(D460:G460),2)</f>
        <v>36.68</v>
      </c>
    </row>
    <row r="461" spans="1:8" s="30" customFormat="1" x14ac:dyDescent="0.2">
      <c r="A461" s="31"/>
      <c r="B461" s="39" t="str">
        <f>"Total item "&amp;A459</f>
        <v>Total item 5.8</v>
      </c>
      <c r="C461" s="38"/>
      <c r="D461" s="33"/>
      <c r="E461" s="33"/>
      <c r="F461" s="33"/>
      <c r="G461" s="33"/>
      <c r="H461" s="19">
        <f>SUM(H460:H460)</f>
        <v>36.68</v>
      </c>
    </row>
    <row r="462" spans="1:8" s="265" customFormat="1" x14ac:dyDescent="0.2">
      <c r="A462" s="238"/>
      <c r="B462" s="239"/>
      <c r="C462" s="240"/>
      <c r="D462" s="236"/>
      <c r="E462" s="236"/>
      <c r="F462" s="236"/>
      <c r="G462" s="236"/>
      <c r="H462" s="236"/>
    </row>
    <row r="463" spans="1:8" s="30" customFormat="1" ht="57.75" customHeight="1" x14ac:dyDescent="0.2">
      <c r="A463" s="225" t="s">
        <v>453</v>
      </c>
      <c r="B463" s="226" t="s">
        <v>146</v>
      </c>
      <c r="C463" s="227" t="s">
        <v>101</v>
      </c>
      <c r="D463" s="244"/>
      <c r="E463" s="19" t="s">
        <v>322</v>
      </c>
      <c r="F463" s="19"/>
      <c r="G463" s="19"/>
      <c r="H463" s="19"/>
    </row>
    <row r="464" spans="1:8" s="30" customFormat="1" x14ac:dyDescent="0.2">
      <c r="A464" s="31"/>
      <c r="B464" s="39" t="s">
        <v>323</v>
      </c>
      <c r="C464" s="38"/>
      <c r="D464" s="33"/>
      <c r="E464" s="33">
        <v>687.77</v>
      </c>
      <c r="F464" s="33"/>
      <c r="G464" s="33"/>
      <c r="H464" s="33"/>
    </row>
    <row r="465" spans="1:8" s="30" customFormat="1" x14ac:dyDescent="0.2">
      <c r="A465" s="31"/>
      <c r="B465" s="229" t="s">
        <v>545</v>
      </c>
      <c r="C465" s="38"/>
      <c r="D465" s="33"/>
      <c r="E465" s="33">
        <v>14.35</v>
      </c>
      <c r="F465" s="33">
        <v>14.24</v>
      </c>
      <c r="G465" s="33"/>
      <c r="H465" s="33">
        <f t="shared" ref="H465:H466" si="20">ROUND(PRODUCT(D465:G465),2)</f>
        <v>204.34</v>
      </c>
    </row>
    <row r="466" spans="1:8" s="30" customFormat="1" x14ac:dyDescent="0.2">
      <c r="A466" s="31"/>
      <c r="B466" s="229" t="s">
        <v>563</v>
      </c>
      <c r="C466" s="38"/>
      <c r="D466" s="33"/>
      <c r="E466" s="33">
        <v>14.1</v>
      </c>
      <c r="F466" s="33">
        <v>10.6</v>
      </c>
      <c r="G466" s="33"/>
      <c r="H466" s="33">
        <f t="shared" si="20"/>
        <v>149.46</v>
      </c>
    </row>
    <row r="467" spans="1:8" s="30" customFormat="1" x14ac:dyDescent="0.2">
      <c r="A467" s="31"/>
      <c r="B467" s="39" t="str">
        <f>"Total item "&amp;A463</f>
        <v>Total item 5.9</v>
      </c>
      <c r="C467" s="38"/>
      <c r="D467" s="33"/>
      <c r="E467" s="33"/>
      <c r="F467" s="33"/>
      <c r="G467" s="33"/>
      <c r="H467" s="19">
        <f>SUM(H464:H466)</f>
        <v>353.8</v>
      </c>
    </row>
    <row r="468" spans="1:8" s="30" customFormat="1" x14ac:dyDescent="0.2">
      <c r="A468" s="31"/>
      <c r="B468" s="39"/>
      <c r="C468" s="38"/>
      <c r="D468" s="33"/>
      <c r="E468" s="33"/>
      <c r="F468" s="33"/>
      <c r="G468" s="33"/>
      <c r="H468" s="245"/>
    </row>
    <row r="469" spans="1:8" s="30" customFormat="1" ht="22.5" customHeight="1" x14ac:dyDescent="0.2">
      <c r="A469" s="225" t="s">
        <v>454</v>
      </c>
      <c r="B469" s="226" t="s">
        <v>345</v>
      </c>
      <c r="C469" s="227" t="s">
        <v>12</v>
      </c>
      <c r="D469" s="19"/>
      <c r="E469" s="19"/>
      <c r="F469" s="19"/>
      <c r="G469" s="19"/>
      <c r="H469" s="19"/>
    </row>
    <row r="470" spans="1:8" s="30" customFormat="1" x14ac:dyDescent="0.2">
      <c r="A470" s="31"/>
      <c r="B470" s="229" t="s">
        <v>434</v>
      </c>
      <c r="C470" s="38"/>
      <c r="D470" s="33"/>
      <c r="E470" s="33"/>
      <c r="F470" s="33"/>
      <c r="G470" s="33"/>
      <c r="H470" s="33"/>
    </row>
    <row r="471" spans="1:8" s="30" customFormat="1" x14ac:dyDescent="0.2">
      <c r="A471" s="31"/>
      <c r="B471" s="229" t="s">
        <v>545</v>
      </c>
      <c r="C471" s="38"/>
      <c r="D471" s="33">
        <v>1</v>
      </c>
      <c r="E471" s="33">
        <v>2</v>
      </c>
      <c r="F471" s="33"/>
      <c r="G471" s="33"/>
      <c r="H471" s="33">
        <f>ROUND((PRODUCT(D471:G471)),2)</f>
        <v>2</v>
      </c>
    </row>
    <row r="472" spans="1:8" s="30" customFormat="1" x14ac:dyDescent="0.2">
      <c r="A472" s="31"/>
      <c r="B472" s="229" t="s">
        <v>433</v>
      </c>
      <c r="C472" s="38"/>
      <c r="D472" s="33"/>
      <c r="E472" s="33"/>
      <c r="F472" s="33"/>
      <c r="G472" s="33"/>
      <c r="H472" s="33"/>
    </row>
    <row r="473" spans="1:8" s="30" customFormat="1" x14ac:dyDescent="0.2">
      <c r="A473" s="31"/>
      <c r="B473" s="229" t="s">
        <v>545</v>
      </c>
      <c r="C473" s="38"/>
      <c r="D473" s="33">
        <v>3</v>
      </c>
      <c r="E473" s="33">
        <v>3.2</v>
      </c>
      <c r="F473" s="33"/>
      <c r="G473" s="33"/>
      <c r="H473" s="33">
        <f>ROUND((PRODUCT(D473:G473)),2)</f>
        <v>9.6</v>
      </c>
    </row>
    <row r="474" spans="1:8" s="30" customFormat="1" x14ac:dyDescent="0.2">
      <c r="A474" s="31"/>
      <c r="B474" s="39" t="str">
        <f>"Total item "&amp;A469</f>
        <v>Total item 5.10</v>
      </c>
      <c r="C474" s="38"/>
      <c r="D474" s="33"/>
      <c r="E474" s="33"/>
      <c r="F474" s="33"/>
      <c r="G474" s="33"/>
      <c r="H474" s="19">
        <f>SUM(H471:H473)</f>
        <v>11.6</v>
      </c>
    </row>
    <row r="475" spans="1:8" s="30" customFormat="1" x14ac:dyDescent="0.2">
      <c r="A475" s="31"/>
      <c r="B475" s="223"/>
      <c r="C475" s="32"/>
      <c r="D475" s="224"/>
      <c r="E475" s="224"/>
      <c r="F475" s="224"/>
      <c r="G475" s="224"/>
      <c r="H475" s="224"/>
    </row>
    <row r="476" spans="1:8" s="30" customFormat="1" x14ac:dyDescent="0.2">
      <c r="A476" s="213" t="s">
        <v>172</v>
      </c>
      <c r="B476" s="215" t="s">
        <v>40</v>
      </c>
      <c r="C476" s="216"/>
      <c r="D476" s="217"/>
      <c r="E476" s="217"/>
      <c r="F476" s="217"/>
      <c r="G476" s="217"/>
      <c r="H476" s="217"/>
    </row>
    <row r="477" spans="1:8" s="30" customFormat="1" x14ac:dyDescent="0.2">
      <c r="A477" s="31"/>
      <c r="B477" s="223"/>
      <c r="C477" s="32"/>
      <c r="D477" s="224"/>
      <c r="E477" s="224"/>
      <c r="F477" s="224"/>
      <c r="G477" s="224"/>
      <c r="H477" s="224"/>
    </row>
    <row r="478" spans="1:8" s="30" customFormat="1" ht="45" x14ac:dyDescent="0.2">
      <c r="A478" s="225" t="s">
        <v>20</v>
      </c>
      <c r="B478" s="226" t="s">
        <v>185</v>
      </c>
      <c r="C478" s="227" t="s">
        <v>101</v>
      </c>
      <c r="D478" s="19"/>
      <c r="E478" s="19"/>
      <c r="F478" s="19"/>
      <c r="G478" s="19"/>
      <c r="H478" s="19"/>
    </row>
    <row r="479" spans="1:8" s="30" customFormat="1" x14ac:dyDescent="0.2">
      <c r="A479" s="31"/>
      <c r="B479" s="39" t="s">
        <v>213</v>
      </c>
      <c r="C479" s="38"/>
      <c r="D479" s="33"/>
      <c r="E479" s="33"/>
      <c r="F479" s="33"/>
      <c r="G479" s="33"/>
      <c r="H479" s="33"/>
    </row>
    <row r="480" spans="1:8" s="30" customFormat="1" x14ac:dyDescent="0.2">
      <c r="A480" s="31"/>
      <c r="B480" s="229" t="s">
        <v>545</v>
      </c>
      <c r="C480" s="38"/>
      <c r="D480" s="33">
        <v>2</v>
      </c>
      <c r="E480" s="33">
        <v>12.4</v>
      </c>
      <c r="F480" s="33"/>
      <c r="G480" s="33">
        <v>3.75</v>
      </c>
      <c r="H480" s="33">
        <f>ROUND(PRODUCT(D480:G480),2)</f>
        <v>93</v>
      </c>
    </row>
    <row r="481" spans="1:8" s="30" customFormat="1" x14ac:dyDescent="0.2">
      <c r="A481" s="31"/>
      <c r="B481" s="229"/>
      <c r="C481" s="38"/>
      <c r="D481" s="33">
        <v>2</v>
      </c>
      <c r="E481" s="33">
        <v>13.95</v>
      </c>
      <c r="F481" s="33"/>
      <c r="G481" s="33">
        <v>3.75</v>
      </c>
      <c r="H481" s="33">
        <f t="shared" ref="H481:H484" si="21">ROUND(PRODUCT(D481:G481),2)</f>
        <v>104.63</v>
      </c>
    </row>
    <row r="482" spans="1:8" s="30" customFormat="1" x14ac:dyDescent="0.2">
      <c r="A482" s="31"/>
      <c r="B482" s="229" t="s">
        <v>432</v>
      </c>
      <c r="C482" s="38"/>
      <c r="D482" s="33"/>
      <c r="E482" s="33"/>
      <c r="F482" s="33"/>
      <c r="G482" s="33"/>
      <c r="H482" s="33"/>
    </row>
    <row r="483" spans="1:8" s="30" customFormat="1" x14ac:dyDescent="0.2">
      <c r="A483" s="31"/>
      <c r="B483" s="229" t="s">
        <v>546</v>
      </c>
      <c r="C483" s="38"/>
      <c r="D483" s="33">
        <v>-1</v>
      </c>
      <c r="E483" s="33">
        <v>2</v>
      </c>
      <c r="F483" s="33"/>
      <c r="G483" s="33">
        <v>2.1</v>
      </c>
      <c r="H483" s="33">
        <f t="shared" si="21"/>
        <v>-4.2</v>
      </c>
    </row>
    <row r="484" spans="1:8" s="30" customFormat="1" x14ac:dyDescent="0.2">
      <c r="A484" s="31"/>
      <c r="B484" s="229" t="s">
        <v>547</v>
      </c>
      <c r="C484" s="38"/>
      <c r="D484" s="33">
        <v>-3</v>
      </c>
      <c r="E484" s="33">
        <v>3</v>
      </c>
      <c r="F484" s="33"/>
      <c r="G484" s="33">
        <v>1.5</v>
      </c>
      <c r="H484" s="33">
        <f t="shared" si="21"/>
        <v>-13.5</v>
      </c>
    </row>
    <row r="485" spans="1:8" s="30" customFormat="1" x14ac:dyDescent="0.2">
      <c r="A485" s="31"/>
      <c r="B485" s="39" t="str">
        <f>"Total item "&amp;A478</f>
        <v>Total item 6.1</v>
      </c>
      <c r="C485" s="38"/>
      <c r="D485" s="33"/>
      <c r="E485" s="33"/>
      <c r="F485" s="33"/>
      <c r="G485" s="33"/>
      <c r="H485" s="19">
        <f>SUM(H479:H484)</f>
        <v>179.93</v>
      </c>
    </row>
    <row r="486" spans="1:8" s="30" customFormat="1" x14ac:dyDescent="0.2">
      <c r="A486" s="31"/>
      <c r="B486" s="246"/>
      <c r="C486" s="32"/>
      <c r="D486" s="224"/>
      <c r="E486" s="224"/>
      <c r="F486" s="224"/>
      <c r="G486" s="224"/>
      <c r="H486" s="224"/>
    </row>
    <row r="487" spans="1:8" s="30" customFormat="1" ht="45" x14ac:dyDescent="0.2">
      <c r="A487" s="225" t="s">
        <v>21</v>
      </c>
      <c r="B487" s="226" t="s">
        <v>111</v>
      </c>
      <c r="C487" s="227" t="s">
        <v>101</v>
      </c>
      <c r="D487" s="19"/>
      <c r="E487" s="228"/>
      <c r="F487" s="19"/>
      <c r="G487" s="19"/>
      <c r="H487" s="19"/>
    </row>
    <row r="488" spans="1:8" s="30" customFormat="1" x14ac:dyDescent="0.2">
      <c r="A488" s="31"/>
      <c r="B488" s="229" t="s">
        <v>327</v>
      </c>
      <c r="C488" s="38"/>
      <c r="D488" s="33">
        <v>2</v>
      </c>
      <c r="E488" s="33">
        <f>H485</f>
        <v>179.93</v>
      </c>
      <c r="F488" s="33"/>
      <c r="G488" s="33"/>
      <c r="H488" s="33">
        <f>ROUND((PRODUCT(D488:G488)),2)</f>
        <v>359.86</v>
      </c>
    </row>
    <row r="489" spans="1:8" s="30" customFormat="1" x14ac:dyDescent="0.2">
      <c r="A489" s="31"/>
      <c r="B489" s="39" t="s">
        <v>323</v>
      </c>
      <c r="C489" s="38"/>
      <c r="D489" s="33"/>
      <c r="E489" s="33">
        <f>H464</f>
        <v>0</v>
      </c>
      <c r="F489" s="33"/>
      <c r="G489" s="33"/>
      <c r="H489" s="33">
        <f>ROUND(PRODUCT(D489:G489),2)</f>
        <v>0</v>
      </c>
    </row>
    <row r="490" spans="1:8" s="30" customFormat="1" x14ac:dyDescent="0.2">
      <c r="A490" s="31"/>
      <c r="B490" s="39" t="str">
        <f>"Total item "&amp;A487</f>
        <v>Total item 6.2</v>
      </c>
      <c r="C490" s="38"/>
      <c r="D490" s="33"/>
      <c r="E490" s="33"/>
      <c r="F490" s="33"/>
      <c r="G490" s="33"/>
      <c r="H490" s="19">
        <f>SUM(H488:H489)</f>
        <v>359.86</v>
      </c>
    </row>
    <row r="491" spans="1:8" s="30" customFormat="1" x14ac:dyDescent="0.2">
      <c r="A491" s="31"/>
      <c r="B491" s="223"/>
      <c r="C491" s="32"/>
      <c r="D491" s="224"/>
      <c r="E491" s="224"/>
      <c r="F491" s="224"/>
      <c r="G491" s="224"/>
      <c r="H491" s="224"/>
    </row>
    <row r="492" spans="1:8" s="30" customFormat="1" ht="56.25" x14ac:dyDescent="0.2">
      <c r="A492" s="225" t="s">
        <v>22</v>
      </c>
      <c r="B492" s="226" t="s">
        <v>187</v>
      </c>
      <c r="C492" s="227" t="s">
        <v>101</v>
      </c>
      <c r="D492" s="19"/>
      <c r="E492" s="228"/>
      <c r="F492" s="19"/>
      <c r="G492" s="19"/>
      <c r="H492" s="19"/>
    </row>
    <row r="493" spans="1:8" s="30" customFormat="1" x14ac:dyDescent="0.2">
      <c r="A493" s="31"/>
      <c r="B493" s="229" t="s">
        <v>327</v>
      </c>
      <c r="C493" s="38"/>
      <c r="D493" s="33">
        <v>2</v>
      </c>
      <c r="E493" s="33">
        <f>H485</f>
        <v>179.93</v>
      </c>
      <c r="F493" s="33"/>
      <c r="G493" s="33"/>
      <c r="H493" s="33">
        <f>ROUND((PRODUCT(D493:G493)),2)</f>
        <v>359.86</v>
      </c>
    </row>
    <row r="494" spans="1:8" s="30" customFormat="1" x14ac:dyDescent="0.2">
      <c r="A494" s="31"/>
      <c r="B494" s="39" t="str">
        <f>"Total item "&amp;A492</f>
        <v>Total item 6.3</v>
      </c>
      <c r="C494" s="38"/>
      <c r="D494" s="33"/>
      <c r="E494" s="33"/>
      <c r="F494" s="33"/>
      <c r="G494" s="33"/>
      <c r="H494" s="19">
        <f>SUM(H493:H493)</f>
        <v>359.86</v>
      </c>
    </row>
    <row r="495" spans="1:8" s="30" customFormat="1" x14ac:dyDescent="0.2">
      <c r="A495" s="31"/>
      <c r="B495" s="10"/>
      <c r="C495" s="38"/>
      <c r="D495" s="33"/>
      <c r="E495" s="33"/>
      <c r="F495" s="33"/>
      <c r="G495" s="33"/>
      <c r="H495" s="10"/>
    </row>
    <row r="496" spans="1:8" s="30" customFormat="1" x14ac:dyDescent="0.2">
      <c r="A496" s="31"/>
      <c r="B496" s="223"/>
      <c r="C496" s="32"/>
      <c r="D496" s="224"/>
      <c r="E496" s="224"/>
      <c r="F496" s="224"/>
      <c r="G496" s="224"/>
      <c r="H496" s="224"/>
    </row>
    <row r="497" spans="1:8" s="30" customFormat="1" ht="45" x14ac:dyDescent="0.2">
      <c r="A497" s="225" t="s">
        <v>198</v>
      </c>
      <c r="B497" s="226" t="s">
        <v>349</v>
      </c>
      <c r="C497" s="227" t="s">
        <v>101</v>
      </c>
      <c r="D497" s="19"/>
      <c r="E497" s="228"/>
      <c r="F497" s="19"/>
      <c r="G497" s="19"/>
      <c r="H497" s="19"/>
    </row>
    <row r="498" spans="1:8" s="30" customFormat="1" x14ac:dyDescent="0.2">
      <c r="A498" s="31"/>
      <c r="B498" s="229" t="s">
        <v>545</v>
      </c>
      <c r="C498" s="38"/>
      <c r="D498" s="33">
        <v>2</v>
      </c>
      <c r="E498" s="33">
        <v>12.4</v>
      </c>
      <c r="F498" s="33"/>
      <c r="G498" s="33">
        <v>1.5</v>
      </c>
      <c r="H498" s="33">
        <f t="shared" ref="H498:H499" si="22">ROUND(PRODUCT(D498:G498),2)</f>
        <v>37.200000000000003</v>
      </c>
    </row>
    <row r="499" spans="1:8" s="30" customFormat="1" x14ac:dyDescent="0.2">
      <c r="A499" s="31"/>
      <c r="B499" s="229"/>
      <c r="C499" s="38"/>
      <c r="D499" s="33">
        <v>2</v>
      </c>
      <c r="E499" s="33">
        <v>13.95</v>
      </c>
      <c r="F499" s="33"/>
      <c r="G499" s="33">
        <v>1.5</v>
      </c>
      <c r="H499" s="33">
        <f t="shared" si="22"/>
        <v>41.85</v>
      </c>
    </row>
    <row r="500" spans="1:8" s="30" customFormat="1" x14ac:dyDescent="0.2">
      <c r="A500" s="31"/>
      <c r="B500" s="229" t="s">
        <v>214</v>
      </c>
      <c r="C500" s="38"/>
      <c r="D500" s="33"/>
      <c r="E500" s="33"/>
      <c r="F500" s="33"/>
      <c r="G500" s="33"/>
      <c r="H500" s="33"/>
    </row>
    <row r="501" spans="1:8" s="30" customFormat="1" x14ac:dyDescent="0.2">
      <c r="A501" s="31"/>
      <c r="B501" s="229" t="s">
        <v>546</v>
      </c>
      <c r="C501" s="38"/>
      <c r="D501" s="33">
        <v>-1</v>
      </c>
      <c r="E501" s="33">
        <v>2</v>
      </c>
      <c r="F501" s="33"/>
      <c r="G501" s="33">
        <v>1.5</v>
      </c>
      <c r="H501" s="33">
        <f>ROUND((PRODUCT(D501:G501)),2)</f>
        <v>-3</v>
      </c>
    </row>
    <row r="502" spans="1:8" s="30" customFormat="1" x14ac:dyDescent="0.2">
      <c r="A502" s="31"/>
      <c r="B502" s="229" t="s">
        <v>547</v>
      </c>
      <c r="C502" s="38"/>
      <c r="D502" s="33">
        <v>-3</v>
      </c>
      <c r="E502" s="33">
        <v>3</v>
      </c>
      <c r="F502" s="33"/>
      <c r="G502" s="33">
        <v>0.4</v>
      </c>
      <c r="H502" s="33">
        <f>ROUND((PRODUCT(D502:G502)),2)</f>
        <v>-3.6</v>
      </c>
    </row>
    <row r="503" spans="1:8" s="30" customFormat="1" x14ac:dyDescent="0.2">
      <c r="A503" s="31"/>
      <c r="B503" s="229" t="s">
        <v>548</v>
      </c>
      <c r="C503" s="38"/>
      <c r="D503" s="33">
        <v>-3</v>
      </c>
      <c r="E503" s="33">
        <v>3.23</v>
      </c>
      <c r="F503" s="33"/>
      <c r="G503" s="33">
        <v>0.4</v>
      </c>
      <c r="H503" s="33">
        <f>ROUND((PRODUCT(D503:G503)),2)</f>
        <v>-3.88</v>
      </c>
    </row>
    <row r="504" spans="1:8" s="30" customFormat="1" x14ac:dyDescent="0.2">
      <c r="A504" s="31"/>
      <c r="B504" s="229"/>
      <c r="C504" s="38"/>
      <c r="D504" s="33">
        <v>-1</v>
      </c>
      <c r="E504" s="33">
        <v>3.15</v>
      </c>
      <c r="F504" s="33"/>
      <c r="G504" s="33">
        <v>0.4</v>
      </c>
      <c r="H504" s="33">
        <f>ROUND((PRODUCT(D504:G504)),2)</f>
        <v>-1.26</v>
      </c>
    </row>
    <row r="505" spans="1:8" s="30" customFormat="1" x14ac:dyDescent="0.2">
      <c r="A505" s="31"/>
      <c r="B505" s="39" t="str">
        <f>"Total item "&amp;A497</f>
        <v>Total item 6.4</v>
      </c>
      <c r="C505" s="38"/>
      <c r="D505" s="33"/>
      <c r="E505" s="33"/>
      <c r="F505" s="33"/>
      <c r="G505" s="33"/>
      <c r="H505" s="19">
        <f>SUM(H498:H504)</f>
        <v>67.310000000000016</v>
      </c>
    </row>
    <row r="506" spans="1:8" s="30" customFormat="1" x14ac:dyDescent="0.2">
      <c r="A506" s="31"/>
      <c r="B506" s="39"/>
      <c r="C506" s="38"/>
      <c r="D506" s="33"/>
      <c r="E506" s="33"/>
      <c r="F506" s="33"/>
      <c r="G506" s="33"/>
      <c r="H506" s="33"/>
    </row>
    <row r="507" spans="1:8" s="30" customFormat="1" ht="45" x14ac:dyDescent="0.2">
      <c r="A507" s="225" t="s">
        <v>455</v>
      </c>
      <c r="B507" s="226" t="s">
        <v>388</v>
      </c>
      <c r="C507" s="227" t="s">
        <v>101</v>
      </c>
      <c r="D507" s="19"/>
      <c r="E507" s="228"/>
      <c r="F507" s="19"/>
      <c r="G507" s="19"/>
      <c r="H507" s="19"/>
    </row>
    <row r="508" spans="1:8" s="30" customFormat="1" x14ac:dyDescent="0.2">
      <c r="A508" s="31"/>
      <c r="B508" s="229"/>
      <c r="C508" s="38"/>
      <c r="D508" s="33">
        <v>3</v>
      </c>
      <c r="E508" s="33">
        <v>3.23</v>
      </c>
      <c r="F508" s="33"/>
      <c r="G508" s="33">
        <v>1</v>
      </c>
      <c r="H508" s="33">
        <f>ROUND(PRODUCT(D508:G508),2)</f>
        <v>9.69</v>
      </c>
    </row>
    <row r="509" spans="1:8" s="30" customFormat="1" x14ac:dyDescent="0.2">
      <c r="A509" s="31"/>
      <c r="B509" s="229"/>
      <c r="C509" s="38"/>
      <c r="D509" s="33"/>
      <c r="E509" s="33">
        <v>3.15</v>
      </c>
      <c r="F509" s="33"/>
      <c r="G509" s="33">
        <v>1</v>
      </c>
      <c r="H509" s="33">
        <f>ROUND(PRODUCT(D509:G509),2)</f>
        <v>3.15</v>
      </c>
    </row>
    <row r="510" spans="1:8" s="30" customFormat="1" x14ac:dyDescent="0.2">
      <c r="A510" s="31"/>
      <c r="B510" s="39" t="str">
        <f>"Total item "&amp;A507</f>
        <v>Total item 6.5</v>
      </c>
      <c r="C510" s="38"/>
      <c r="D510" s="33"/>
      <c r="E510" s="33"/>
      <c r="F510" s="33"/>
      <c r="G510" s="33"/>
      <c r="H510" s="19">
        <f>SUM(H508:H509)</f>
        <v>12.84</v>
      </c>
    </row>
    <row r="511" spans="1:8" s="30" customFormat="1" x14ac:dyDescent="0.2">
      <c r="A511" s="31"/>
      <c r="B511" s="39"/>
      <c r="C511" s="38"/>
      <c r="D511" s="33"/>
      <c r="E511" s="33"/>
      <c r="F511" s="33"/>
      <c r="G511" s="33"/>
      <c r="H511" s="33"/>
    </row>
    <row r="512" spans="1:8" s="30" customFormat="1" x14ac:dyDescent="0.2">
      <c r="A512" s="213" t="s">
        <v>173</v>
      </c>
      <c r="B512" s="215" t="s">
        <v>41</v>
      </c>
      <c r="C512" s="216"/>
      <c r="D512" s="217"/>
      <c r="E512" s="217"/>
      <c r="F512" s="217"/>
      <c r="G512" s="217"/>
      <c r="H512" s="217"/>
    </row>
    <row r="513" spans="1:8" s="30" customFormat="1" x14ac:dyDescent="0.2">
      <c r="A513" s="31"/>
      <c r="B513" s="223"/>
      <c r="C513" s="32"/>
      <c r="D513" s="224"/>
      <c r="E513" s="224"/>
      <c r="F513" s="224"/>
      <c r="G513" s="224"/>
      <c r="H513" s="224"/>
    </row>
    <row r="514" spans="1:8" s="30" customFormat="1" ht="56.25" x14ac:dyDescent="0.2">
      <c r="A514" s="225" t="s">
        <v>29</v>
      </c>
      <c r="B514" s="226" t="s">
        <v>351</v>
      </c>
      <c r="C514" s="227" t="s">
        <v>101</v>
      </c>
      <c r="D514" s="19"/>
      <c r="E514" s="228"/>
      <c r="F514" s="19"/>
      <c r="G514" s="19"/>
      <c r="H514" s="19"/>
    </row>
    <row r="515" spans="1:8" s="30" customFormat="1" x14ac:dyDescent="0.2">
      <c r="A515" s="31"/>
      <c r="B515" s="229" t="s">
        <v>545</v>
      </c>
      <c r="C515" s="229"/>
      <c r="D515" s="229"/>
      <c r="E515" s="33">
        <v>12.09</v>
      </c>
      <c r="F515" s="33">
        <v>13.95</v>
      </c>
      <c r="G515" s="33"/>
      <c r="H515" s="33">
        <f t="shared" ref="H515:H516" si="23">ROUND(PRODUCT(D515:G515),2)</f>
        <v>168.66</v>
      </c>
    </row>
    <row r="516" spans="1:8" s="30" customFormat="1" x14ac:dyDescent="0.2">
      <c r="A516" s="31"/>
      <c r="B516" s="229" t="s">
        <v>549</v>
      </c>
      <c r="C516" s="38"/>
      <c r="D516" s="33"/>
      <c r="E516" s="33">
        <v>11.46</v>
      </c>
      <c r="F516" s="33">
        <v>13.95</v>
      </c>
      <c r="G516" s="33"/>
      <c r="H516" s="33">
        <f t="shared" si="23"/>
        <v>159.87</v>
      </c>
    </row>
    <row r="517" spans="1:8" s="30" customFormat="1" x14ac:dyDescent="0.2">
      <c r="A517" s="31"/>
      <c r="B517" s="39" t="str">
        <f>"Total item "&amp;A514</f>
        <v>Total item 7.1</v>
      </c>
      <c r="C517" s="38"/>
      <c r="D517" s="33"/>
      <c r="E517" s="33"/>
      <c r="F517" s="33"/>
      <c r="G517" s="33"/>
      <c r="H517" s="19">
        <f>SUM(H515:H516)</f>
        <v>328.53</v>
      </c>
    </row>
    <row r="518" spans="1:8" s="30" customFormat="1" x14ac:dyDescent="0.2">
      <c r="A518" s="31"/>
      <c r="B518" s="223"/>
      <c r="C518" s="32"/>
      <c r="D518" s="224"/>
      <c r="E518" s="224"/>
      <c r="F518" s="224"/>
      <c r="G518" s="224"/>
      <c r="H518" s="224"/>
    </row>
    <row r="519" spans="1:8" s="30" customFormat="1" ht="67.5" x14ac:dyDescent="0.2">
      <c r="A519" s="225" t="s">
        <v>30</v>
      </c>
      <c r="B519" s="226" t="s">
        <v>354</v>
      </c>
      <c r="C519" s="227" t="s">
        <v>101</v>
      </c>
      <c r="D519" s="19"/>
      <c r="E519" s="228"/>
      <c r="F519" s="19"/>
      <c r="G519" s="19"/>
      <c r="H519" s="19"/>
    </row>
    <row r="520" spans="1:8" s="30" customFormat="1" x14ac:dyDescent="0.2">
      <c r="A520" s="31"/>
      <c r="B520" s="229" t="s">
        <v>545</v>
      </c>
      <c r="C520" s="229"/>
      <c r="D520" s="229"/>
      <c r="E520" s="33">
        <v>12.09</v>
      </c>
      <c r="F520" s="33">
        <v>13.95</v>
      </c>
      <c r="G520" s="33"/>
      <c r="H520" s="33">
        <f t="shared" ref="H520:H521" si="24">ROUND(PRODUCT(D520:G520),2)</f>
        <v>168.66</v>
      </c>
    </row>
    <row r="521" spans="1:8" s="30" customFormat="1" x14ac:dyDescent="0.2">
      <c r="A521" s="31"/>
      <c r="B521" s="229" t="s">
        <v>549</v>
      </c>
      <c r="C521" s="38"/>
      <c r="D521" s="33"/>
      <c r="E521" s="33">
        <v>11.46</v>
      </c>
      <c r="F521" s="33">
        <v>13.95</v>
      </c>
      <c r="G521" s="33"/>
      <c r="H521" s="33">
        <f t="shared" si="24"/>
        <v>159.87</v>
      </c>
    </row>
    <row r="522" spans="1:8" s="30" customFormat="1" x14ac:dyDescent="0.2">
      <c r="A522" s="31"/>
      <c r="B522" s="39" t="str">
        <f>"Total item "&amp;A519</f>
        <v>Total item 7.2</v>
      </c>
      <c r="C522" s="38"/>
      <c r="D522" s="33"/>
      <c r="E522" s="33"/>
      <c r="F522" s="33"/>
      <c r="G522" s="33"/>
      <c r="H522" s="19">
        <f>SUM(H520:H521)</f>
        <v>328.53</v>
      </c>
    </row>
    <row r="523" spans="1:8" s="30" customFormat="1" x14ac:dyDescent="0.2">
      <c r="A523" s="31"/>
      <c r="B523" s="229"/>
      <c r="C523" s="38"/>
      <c r="D523" s="33"/>
      <c r="E523" s="33"/>
      <c r="F523" s="33"/>
      <c r="G523" s="33"/>
      <c r="H523" s="33"/>
    </row>
    <row r="524" spans="1:8" s="30" customFormat="1" x14ac:dyDescent="0.2">
      <c r="A524" s="213" t="s">
        <v>174</v>
      </c>
      <c r="B524" s="215" t="s">
        <v>39</v>
      </c>
      <c r="C524" s="216"/>
      <c r="D524" s="217"/>
      <c r="E524" s="217"/>
      <c r="F524" s="217"/>
      <c r="G524" s="217"/>
      <c r="H524" s="217"/>
    </row>
    <row r="525" spans="1:8" s="30" customFormat="1" x14ac:dyDescent="0.2">
      <c r="A525" s="31"/>
      <c r="B525" s="223"/>
      <c r="C525" s="32"/>
      <c r="D525" s="224"/>
      <c r="E525" s="224"/>
      <c r="F525" s="224"/>
      <c r="G525" s="224"/>
      <c r="H525" s="224"/>
    </row>
    <row r="526" spans="1:8" s="30" customFormat="1" ht="45" x14ac:dyDescent="0.2">
      <c r="A526" s="225" t="s">
        <v>31</v>
      </c>
      <c r="B526" s="226" t="s">
        <v>234</v>
      </c>
      <c r="C526" s="227" t="s">
        <v>101</v>
      </c>
      <c r="D526" s="19"/>
      <c r="E526" s="228"/>
      <c r="F526" s="19"/>
      <c r="G526" s="19"/>
      <c r="H526" s="19"/>
    </row>
    <row r="527" spans="1:8" s="30" customFormat="1" x14ac:dyDescent="0.2">
      <c r="A527" s="31"/>
      <c r="B527" s="229" t="s">
        <v>545</v>
      </c>
      <c r="C527" s="38"/>
      <c r="D527" s="33"/>
      <c r="E527" s="33">
        <v>12.09</v>
      </c>
      <c r="F527" s="33">
        <v>13.95</v>
      </c>
      <c r="G527" s="33"/>
      <c r="H527" s="233">
        <f>ROUND(PRODUCT(D527:G527),2)</f>
        <v>168.66</v>
      </c>
    </row>
    <row r="528" spans="1:8" s="30" customFormat="1" x14ac:dyDescent="0.2">
      <c r="A528" s="31"/>
      <c r="B528" s="39" t="str">
        <f>"Total item "&amp;A526</f>
        <v>Total item 8.1</v>
      </c>
      <c r="C528" s="38"/>
      <c r="D528" s="33"/>
      <c r="E528" s="33"/>
      <c r="F528" s="33"/>
      <c r="G528" s="33"/>
      <c r="H528" s="19">
        <f>SUM(H527:H527)</f>
        <v>168.66</v>
      </c>
    </row>
    <row r="529" spans="1:8" s="30" customFormat="1" x14ac:dyDescent="0.2">
      <c r="A529" s="31"/>
      <c r="B529" s="223"/>
      <c r="C529" s="32"/>
      <c r="D529" s="224"/>
      <c r="E529" s="224"/>
      <c r="F529" s="224"/>
      <c r="G529" s="224"/>
      <c r="H529" s="224"/>
    </row>
    <row r="530" spans="1:8" s="30" customFormat="1" ht="56.25" x14ac:dyDescent="0.2">
      <c r="A530" s="225" t="s">
        <v>94</v>
      </c>
      <c r="B530" s="226" t="s">
        <v>386</v>
      </c>
      <c r="C530" s="227" t="s">
        <v>268</v>
      </c>
      <c r="D530" s="19"/>
      <c r="E530" s="228"/>
      <c r="F530" s="19"/>
      <c r="G530" s="19"/>
      <c r="H530" s="19"/>
    </row>
    <row r="531" spans="1:8" s="30" customFormat="1" x14ac:dyDescent="0.2">
      <c r="A531" s="31"/>
      <c r="B531" s="229" t="s">
        <v>435</v>
      </c>
      <c r="C531" s="38"/>
      <c r="D531" s="33"/>
      <c r="E531" s="33"/>
      <c r="F531" s="33"/>
      <c r="G531" s="33"/>
      <c r="H531" s="233"/>
    </row>
    <row r="532" spans="1:8" s="30" customFormat="1" x14ac:dyDescent="0.2">
      <c r="A532" s="31"/>
      <c r="B532" s="229" t="s">
        <v>545</v>
      </c>
      <c r="C532" s="38"/>
      <c r="D532" s="33"/>
      <c r="E532" s="33">
        <f>268.02+268.02+210.43+275.1</f>
        <v>1021.57</v>
      </c>
      <c r="F532" s="33"/>
      <c r="G532" s="33"/>
      <c r="H532" s="233">
        <f>ROUND(PRODUCT(D532:G532),2)</f>
        <v>1021.57</v>
      </c>
    </row>
    <row r="533" spans="1:8" s="30" customFormat="1" x14ac:dyDescent="0.2">
      <c r="A533" s="31"/>
      <c r="B533" s="39" t="str">
        <f>"Total item "&amp;A530</f>
        <v>Total item 8.2</v>
      </c>
      <c r="C533" s="38"/>
      <c r="D533" s="33"/>
      <c r="E533" s="33"/>
      <c r="F533" s="33"/>
      <c r="G533" s="33"/>
      <c r="H533" s="19">
        <f>SUM(H531:H532)</f>
        <v>1021.57</v>
      </c>
    </row>
    <row r="534" spans="1:8" s="30" customFormat="1" x14ac:dyDescent="0.2">
      <c r="A534" s="31"/>
      <c r="B534" s="223"/>
      <c r="C534" s="32"/>
      <c r="D534" s="224"/>
      <c r="E534" s="224"/>
      <c r="F534" s="224"/>
      <c r="G534" s="224"/>
      <c r="H534" s="224"/>
    </row>
    <row r="535" spans="1:8" s="30" customFormat="1" ht="33.75" x14ac:dyDescent="0.2">
      <c r="A535" s="225" t="s">
        <v>203</v>
      </c>
      <c r="B535" s="226" t="s">
        <v>236</v>
      </c>
      <c r="C535" s="227" t="s">
        <v>101</v>
      </c>
      <c r="D535" s="19"/>
      <c r="E535" s="228"/>
      <c r="F535" s="19"/>
      <c r="G535" s="19"/>
      <c r="H535" s="19"/>
    </row>
    <row r="536" spans="1:8" s="30" customFormat="1" x14ac:dyDescent="0.2">
      <c r="A536" s="31"/>
      <c r="B536" s="229" t="s">
        <v>545</v>
      </c>
      <c r="C536" s="38"/>
      <c r="D536" s="33"/>
      <c r="E536" s="33">
        <v>12.09</v>
      </c>
      <c r="F536" s="33">
        <v>13.95</v>
      </c>
      <c r="G536" s="33"/>
      <c r="H536" s="233">
        <f>ROUND(PRODUCT(D536:G536),2)</f>
        <v>168.66</v>
      </c>
    </row>
    <row r="537" spans="1:8" s="30" customFormat="1" x14ac:dyDescent="0.2">
      <c r="A537" s="31"/>
      <c r="B537" s="39" t="str">
        <f>"Total item "&amp;A535</f>
        <v>Total item 8.3</v>
      </c>
      <c r="C537" s="38"/>
      <c r="D537" s="33"/>
      <c r="E537" s="33"/>
      <c r="F537" s="33"/>
      <c r="G537" s="33"/>
      <c r="H537" s="19">
        <f>SUM(H536:H536)</f>
        <v>168.66</v>
      </c>
    </row>
    <row r="538" spans="1:8" s="30" customFormat="1" x14ac:dyDescent="0.2">
      <c r="A538" s="31"/>
      <c r="B538" s="223"/>
      <c r="C538" s="32"/>
      <c r="D538" s="224"/>
      <c r="E538" s="224"/>
      <c r="F538" s="224"/>
      <c r="G538" s="224"/>
      <c r="H538" s="224"/>
    </row>
    <row r="539" spans="1:8" s="30" customFormat="1" ht="22.5" x14ac:dyDescent="0.2">
      <c r="A539" s="225" t="s">
        <v>252</v>
      </c>
      <c r="B539" s="226" t="s">
        <v>165</v>
      </c>
      <c r="C539" s="227" t="s">
        <v>101</v>
      </c>
      <c r="D539" s="19"/>
      <c r="E539" s="228"/>
      <c r="F539" s="19"/>
      <c r="G539" s="19"/>
      <c r="H539" s="19"/>
    </row>
    <row r="540" spans="1:8" s="30" customFormat="1" x14ac:dyDescent="0.2">
      <c r="A540" s="31"/>
      <c r="B540" s="229" t="s">
        <v>545</v>
      </c>
      <c r="C540" s="38"/>
      <c r="D540" s="33"/>
      <c r="E540" s="33">
        <v>12.09</v>
      </c>
      <c r="F540" s="33">
        <v>13.95</v>
      </c>
      <c r="G540" s="33"/>
      <c r="H540" s="33">
        <f t="shared" ref="H540" si="25">ROUND(PRODUCT(D540:G540),2)</f>
        <v>168.66</v>
      </c>
    </row>
    <row r="541" spans="1:8" s="30" customFormat="1" x14ac:dyDescent="0.2">
      <c r="A541" s="31"/>
      <c r="B541" s="39" t="str">
        <f>"Total item "&amp;A539</f>
        <v>Total item 8.4</v>
      </c>
      <c r="C541" s="38"/>
      <c r="D541" s="33"/>
      <c r="E541" s="33"/>
      <c r="F541" s="33"/>
      <c r="G541" s="33"/>
      <c r="H541" s="19">
        <f>SUM(H540:H540)</f>
        <v>168.66</v>
      </c>
    </row>
    <row r="542" spans="1:8" s="30" customFormat="1" x14ac:dyDescent="0.2">
      <c r="A542" s="31"/>
      <c r="B542" s="223"/>
      <c r="C542" s="32"/>
      <c r="D542" s="224"/>
      <c r="E542" s="224"/>
      <c r="F542" s="224"/>
      <c r="G542" s="224"/>
      <c r="H542" s="224"/>
    </row>
    <row r="543" spans="1:8" s="30" customFormat="1" x14ac:dyDescent="0.2">
      <c r="A543" s="213" t="s">
        <v>175</v>
      </c>
      <c r="B543" s="215" t="s">
        <v>42</v>
      </c>
      <c r="C543" s="216"/>
      <c r="D543" s="217"/>
      <c r="E543" s="217"/>
      <c r="F543" s="217"/>
      <c r="G543" s="217"/>
      <c r="H543" s="217"/>
    </row>
    <row r="544" spans="1:8" s="30" customFormat="1" x14ac:dyDescent="0.2">
      <c r="A544" s="31"/>
      <c r="B544" s="223"/>
      <c r="C544" s="32"/>
      <c r="D544" s="224"/>
      <c r="E544" s="224"/>
      <c r="F544" s="224"/>
      <c r="G544" s="224"/>
      <c r="H544" s="224"/>
    </row>
    <row r="545" spans="1:8" s="30" customFormat="1" ht="36" customHeight="1" x14ac:dyDescent="0.2">
      <c r="A545" s="225" t="s">
        <v>32</v>
      </c>
      <c r="B545" s="226" t="s">
        <v>550</v>
      </c>
      <c r="C545" s="227" t="s">
        <v>103</v>
      </c>
      <c r="D545" s="19"/>
      <c r="E545" s="228"/>
      <c r="F545" s="19"/>
      <c r="G545" s="19"/>
      <c r="H545" s="19"/>
    </row>
    <row r="546" spans="1:8" s="30" customFormat="1" x14ac:dyDescent="0.2">
      <c r="A546" s="31"/>
      <c r="B546" s="229" t="s">
        <v>545</v>
      </c>
      <c r="C546" s="38"/>
      <c r="D546" s="33"/>
      <c r="E546" s="33">
        <v>2</v>
      </c>
      <c r="F546" s="33"/>
      <c r="G546" s="33">
        <v>2.1</v>
      </c>
      <c r="H546" s="33">
        <f>ROUND((PRODUCT(D546:G546)),2)</f>
        <v>4.2</v>
      </c>
    </row>
    <row r="547" spans="1:8" s="30" customFormat="1" x14ac:dyDescent="0.2">
      <c r="A547" s="31"/>
      <c r="B547" s="39" t="str">
        <f>"Total item "&amp;A545</f>
        <v>Total item 9.1</v>
      </c>
      <c r="C547" s="38"/>
      <c r="D547" s="33"/>
      <c r="E547" s="33"/>
      <c r="F547" s="33"/>
      <c r="G547" s="33"/>
      <c r="H547" s="19">
        <f>SUM(H546:H546)</f>
        <v>4.2</v>
      </c>
    </row>
    <row r="548" spans="1:8" s="30" customFormat="1" x14ac:dyDescent="0.2">
      <c r="A548" s="31"/>
      <c r="B548" s="223"/>
      <c r="C548" s="32"/>
      <c r="D548" s="224"/>
      <c r="E548" s="224"/>
      <c r="F548" s="224"/>
      <c r="G548" s="224"/>
      <c r="H548" s="224"/>
    </row>
    <row r="549" spans="1:8" s="30" customFormat="1" ht="67.5" x14ac:dyDescent="0.2">
      <c r="A549" s="225" t="s">
        <v>456</v>
      </c>
      <c r="B549" s="226" t="s">
        <v>437</v>
      </c>
      <c r="C549" s="227" t="s">
        <v>101</v>
      </c>
      <c r="D549" s="19"/>
      <c r="E549" s="228"/>
      <c r="F549" s="19"/>
      <c r="G549" s="19"/>
      <c r="H549" s="19"/>
    </row>
    <row r="550" spans="1:8" s="30" customFormat="1" x14ac:dyDescent="0.2">
      <c r="A550" s="31"/>
      <c r="B550" s="229" t="s">
        <v>215</v>
      </c>
      <c r="C550" s="38"/>
      <c r="D550" s="33">
        <v>3</v>
      </c>
      <c r="E550" s="33">
        <v>3</v>
      </c>
      <c r="F550" s="33"/>
      <c r="G550" s="33">
        <v>1.5</v>
      </c>
      <c r="H550" s="33">
        <f>ROUND((PRODUCT(D550:G550)),2)</f>
        <v>13.5</v>
      </c>
    </row>
    <row r="551" spans="1:8" s="30" customFormat="1" x14ac:dyDescent="0.2">
      <c r="A551" s="31"/>
      <c r="B551" s="39" t="str">
        <f>"Total item "&amp;A549</f>
        <v>Total item 9.2</v>
      </c>
      <c r="C551" s="38"/>
      <c r="D551" s="33"/>
      <c r="E551" s="33"/>
      <c r="F551" s="33"/>
      <c r="G551" s="33"/>
      <c r="H551" s="19">
        <f>SUM(H550:H550)</f>
        <v>13.5</v>
      </c>
    </row>
    <row r="552" spans="1:8" s="30" customFormat="1" x14ac:dyDescent="0.2">
      <c r="A552" s="31"/>
      <c r="B552" s="223"/>
      <c r="C552" s="32"/>
      <c r="D552" s="224"/>
      <c r="E552" s="224"/>
      <c r="F552" s="224"/>
      <c r="G552" s="224"/>
      <c r="H552" s="224"/>
    </row>
    <row r="553" spans="1:8" s="30" customFormat="1" x14ac:dyDescent="0.2">
      <c r="A553" s="213" t="s">
        <v>176</v>
      </c>
      <c r="B553" s="215" t="s">
        <v>43</v>
      </c>
      <c r="C553" s="216"/>
      <c r="D553" s="217"/>
      <c r="E553" s="217"/>
      <c r="F553" s="217"/>
      <c r="G553" s="217"/>
      <c r="H553" s="217"/>
    </row>
    <row r="554" spans="1:8" s="30" customFormat="1" x14ac:dyDescent="0.2">
      <c r="A554" s="31"/>
      <c r="B554" s="223"/>
      <c r="C554" s="32"/>
      <c r="D554" s="224"/>
      <c r="E554" s="224"/>
      <c r="F554" s="224"/>
      <c r="G554" s="224"/>
      <c r="H554" s="224"/>
    </row>
    <row r="555" spans="1:8" s="30" customFormat="1" ht="22.5" x14ac:dyDescent="0.2">
      <c r="A555" s="225" t="s">
        <v>33</v>
      </c>
      <c r="B555" s="226" t="s">
        <v>359</v>
      </c>
      <c r="C555" s="227" t="s">
        <v>101</v>
      </c>
      <c r="D555" s="19"/>
      <c r="E555" s="228"/>
      <c r="F555" s="19"/>
      <c r="G555" s="19"/>
      <c r="H555" s="19"/>
    </row>
    <row r="556" spans="1:8" s="30" customFormat="1" x14ac:dyDescent="0.2">
      <c r="A556" s="31"/>
      <c r="B556" s="39" t="s">
        <v>179</v>
      </c>
      <c r="C556" s="38"/>
      <c r="D556" s="33"/>
      <c r="E556" s="33"/>
      <c r="F556" s="33"/>
      <c r="G556" s="33"/>
      <c r="H556" s="33"/>
    </row>
    <row r="557" spans="1:8" s="30" customFormat="1" x14ac:dyDescent="0.2">
      <c r="A557" s="31"/>
      <c r="B557" s="229" t="s">
        <v>244</v>
      </c>
      <c r="C557" s="38"/>
      <c r="D557" s="33"/>
      <c r="E557" s="33">
        <f>H494</f>
        <v>359.86</v>
      </c>
      <c r="F557" s="33"/>
      <c r="G557" s="33"/>
      <c r="H557" s="33">
        <f>ROUND(PRODUCT(D557:G557),2)</f>
        <v>359.86</v>
      </c>
    </row>
    <row r="558" spans="1:8" s="30" customFormat="1" x14ac:dyDescent="0.2">
      <c r="A558" s="31"/>
      <c r="B558" s="229" t="s">
        <v>245</v>
      </c>
      <c r="C558" s="38"/>
      <c r="D558" s="33"/>
      <c r="E558" s="33">
        <f>H541</f>
        <v>168.66</v>
      </c>
      <c r="F558" s="33"/>
      <c r="G558" s="33"/>
      <c r="H558" s="33">
        <f>ROUND(PRODUCT(D558:G558),2)</f>
        <v>168.66</v>
      </c>
    </row>
    <row r="559" spans="1:8" s="30" customFormat="1" x14ac:dyDescent="0.2">
      <c r="A559" s="31"/>
      <c r="B559" s="229" t="s">
        <v>246</v>
      </c>
      <c r="C559" s="38"/>
      <c r="D559" s="33">
        <v>-1</v>
      </c>
      <c r="E559" s="33">
        <f>H505</f>
        <v>67.310000000000016</v>
      </c>
      <c r="F559" s="33"/>
      <c r="G559" s="33"/>
      <c r="H559" s="33">
        <f>ROUND(PRODUCT(D559:G559),2)</f>
        <v>-67.31</v>
      </c>
    </row>
    <row r="560" spans="1:8" s="30" customFormat="1" x14ac:dyDescent="0.2">
      <c r="A560" s="31"/>
      <c r="B560" s="229"/>
      <c r="C560" s="38"/>
      <c r="D560" s="33"/>
      <c r="E560" s="33"/>
      <c r="F560" s="33"/>
      <c r="G560" s="33"/>
      <c r="H560" s="33">
        <f>ROUND(PRODUCT(D560:G560),2)</f>
        <v>0</v>
      </c>
    </row>
    <row r="561" spans="1:8" s="30" customFormat="1" x14ac:dyDescent="0.2">
      <c r="A561" s="31"/>
      <c r="B561" s="39" t="str">
        <f>"Total item "&amp;A555</f>
        <v>Total item 10.1</v>
      </c>
      <c r="C561" s="38"/>
      <c r="D561" s="33"/>
      <c r="E561" s="33"/>
      <c r="F561" s="33"/>
      <c r="G561" s="33"/>
      <c r="H561" s="19">
        <f>SUM(H556:H560)</f>
        <v>461.21</v>
      </c>
    </row>
    <row r="562" spans="1:8" s="30" customFormat="1" x14ac:dyDescent="0.2">
      <c r="A562" s="31"/>
      <c r="B562" s="223"/>
      <c r="C562" s="32"/>
      <c r="D562" s="224"/>
      <c r="E562" s="224"/>
      <c r="F562" s="224"/>
      <c r="G562" s="224"/>
      <c r="H562" s="224"/>
    </row>
    <row r="563" spans="1:8" s="30" customFormat="1" ht="22.5" x14ac:dyDescent="0.2">
      <c r="A563" s="225" t="s">
        <v>199</v>
      </c>
      <c r="B563" s="226" t="s">
        <v>112</v>
      </c>
      <c r="C563" s="227" t="s">
        <v>101</v>
      </c>
      <c r="D563" s="19"/>
      <c r="E563" s="228"/>
      <c r="F563" s="19"/>
      <c r="G563" s="19"/>
      <c r="H563" s="19"/>
    </row>
    <row r="564" spans="1:8" s="30" customFormat="1" x14ac:dyDescent="0.2">
      <c r="A564" s="31"/>
      <c r="B564" s="39"/>
      <c r="C564" s="38"/>
      <c r="D564" s="33"/>
      <c r="E564" s="33"/>
      <c r="F564" s="33"/>
      <c r="G564" s="33"/>
      <c r="H564" s="33"/>
    </row>
    <row r="565" spans="1:8" s="30" customFormat="1" x14ac:dyDescent="0.2">
      <c r="A565" s="31"/>
      <c r="B565" s="229"/>
      <c r="C565" s="38"/>
      <c r="D565" s="33"/>
      <c r="E565" s="33">
        <f>H561</f>
        <v>461.21</v>
      </c>
      <c r="F565" s="33"/>
      <c r="G565" s="33"/>
      <c r="H565" s="33">
        <f>ROUND((PRODUCT(D565:G565)),2)</f>
        <v>461.21</v>
      </c>
    </row>
    <row r="566" spans="1:8" s="30" customFormat="1" x14ac:dyDescent="0.2">
      <c r="A566" s="31"/>
      <c r="B566" s="39" t="str">
        <f>"Total item "&amp;A563</f>
        <v>Total item 10.2</v>
      </c>
      <c r="C566" s="38"/>
      <c r="D566" s="33"/>
      <c r="E566" s="33"/>
      <c r="F566" s="33"/>
      <c r="G566" s="33"/>
      <c r="H566" s="19">
        <f>SUM(H564:H565)</f>
        <v>461.21</v>
      </c>
    </row>
    <row r="567" spans="1:8" s="30" customFormat="1" x14ac:dyDescent="0.2">
      <c r="A567" s="31"/>
      <c r="B567" s="223"/>
      <c r="C567" s="32"/>
      <c r="D567" s="224"/>
      <c r="E567" s="224"/>
      <c r="F567" s="224"/>
      <c r="G567" s="224"/>
      <c r="H567" s="224"/>
    </row>
    <row r="568" spans="1:8" s="30" customFormat="1" x14ac:dyDescent="0.2">
      <c r="A568" s="213" t="s">
        <v>161</v>
      </c>
      <c r="B568" s="215" t="s">
        <v>44</v>
      </c>
      <c r="C568" s="216"/>
      <c r="D568" s="217"/>
      <c r="E568" s="217"/>
      <c r="F568" s="217"/>
      <c r="G568" s="217"/>
      <c r="H568" s="217"/>
    </row>
    <row r="569" spans="1:8" s="30" customFormat="1" x14ac:dyDescent="0.2">
      <c r="A569" s="31"/>
      <c r="B569" s="223"/>
      <c r="C569" s="32"/>
      <c r="D569" s="224"/>
      <c r="E569" s="224"/>
      <c r="F569" s="224"/>
      <c r="G569" s="224"/>
      <c r="H569" s="224"/>
    </row>
    <row r="570" spans="1:8" s="30" customFormat="1" ht="45" x14ac:dyDescent="0.2">
      <c r="A570" s="225" t="s">
        <v>34</v>
      </c>
      <c r="B570" s="226" t="s">
        <v>190</v>
      </c>
      <c r="C570" s="227" t="s">
        <v>103</v>
      </c>
      <c r="D570" s="19"/>
      <c r="E570" s="228"/>
      <c r="F570" s="228"/>
      <c r="G570" s="19"/>
      <c r="H570" s="19"/>
    </row>
    <row r="571" spans="1:8" s="30" customFormat="1" x14ac:dyDescent="0.2">
      <c r="A571" s="31"/>
      <c r="B571" s="229" t="s">
        <v>545</v>
      </c>
      <c r="C571" s="229"/>
      <c r="D571" s="229"/>
      <c r="E571" s="33">
        <v>32</v>
      </c>
      <c r="F571" s="33"/>
      <c r="G571" s="33"/>
      <c r="H571" s="33">
        <f t="shared" ref="H571" si="26">ROUND(PRODUCT(D571:G571),2)</f>
        <v>32</v>
      </c>
    </row>
    <row r="572" spans="1:8" s="30" customFormat="1" x14ac:dyDescent="0.2">
      <c r="A572" s="31"/>
      <c r="B572" s="39" t="str">
        <f>"Total item "&amp;A570</f>
        <v>Total item 11.1</v>
      </c>
      <c r="C572" s="38"/>
      <c r="D572" s="33"/>
      <c r="E572" s="33"/>
      <c r="F572" s="33"/>
      <c r="G572" s="33"/>
      <c r="H572" s="19">
        <f>SUM(H571:H571)</f>
        <v>32</v>
      </c>
    </row>
    <row r="573" spans="1:8" s="30" customFormat="1" x14ac:dyDescent="0.2">
      <c r="A573" s="31"/>
      <c r="B573" s="223"/>
      <c r="C573" s="32"/>
      <c r="D573" s="224"/>
      <c r="E573" s="224"/>
      <c r="F573" s="224"/>
      <c r="G573" s="224"/>
      <c r="H573" s="224"/>
    </row>
    <row r="574" spans="1:8" s="30" customFormat="1" ht="56.25" x14ac:dyDescent="0.2">
      <c r="A574" s="225" t="s">
        <v>35</v>
      </c>
      <c r="B574" s="226" t="s">
        <v>238</v>
      </c>
      <c r="C574" s="227" t="s">
        <v>103</v>
      </c>
      <c r="D574" s="19"/>
      <c r="E574" s="228"/>
      <c r="F574" s="228"/>
      <c r="G574" s="19"/>
      <c r="H574" s="19"/>
    </row>
    <row r="575" spans="1:8" s="30" customFormat="1" x14ac:dyDescent="0.2">
      <c r="A575" s="31"/>
      <c r="B575" s="229" t="s">
        <v>545</v>
      </c>
      <c r="C575" s="38"/>
      <c r="D575" s="33"/>
      <c r="E575" s="33">
        <v>1</v>
      </c>
      <c r="F575" s="33"/>
      <c r="G575" s="33"/>
      <c r="H575" s="33">
        <f t="shared" ref="H575" si="27">ROUND(PRODUCT(D575:G575),2)</f>
        <v>1</v>
      </c>
    </row>
    <row r="576" spans="1:8" s="30" customFormat="1" x14ac:dyDescent="0.2">
      <c r="A576" s="31"/>
      <c r="B576" s="39" t="str">
        <f>"Total item "&amp;A574</f>
        <v>Total item 11.2</v>
      </c>
      <c r="C576" s="38"/>
      <c r="D576" s="33"/>
      <c r="E576" s="33"/>
      <c r="F576" s="33"/>
      <c r="G576" s="33"/>
      <c r="H576" s="19">
        <f>SUM(H575:H575)</f>
        <v>1</v>
      </c>
    </row>
    <row r="577" spans="1:8" s="30" customFormat="1" x14ac:dyDescent="0.2">
      <c r="A577" s="31"/>
      <c r="B577" s="223"/>
      <c r="C577" s="32"/>
      <c r="D577" s="224"/>
      <c r="E577" s="224"/>
      <c r="F577" s="224"/>
      <c r="G577" s="224"/>
      <c r="H577" s="224"/>
    </row>
    <row r="578" spans="1:8" s="30" customFormat="1" ht="67.5" x14ac:dyDescent="0.2">
      <c r="A578" s="225" t="s">
        <v>200</v>
      </c>
      <c r="B578" s="226" t="str">
        <f>COMPOSIÇÕES!A55</f>
        <v>COMPOSIÇÃO PARAMÉTRICA DE PONTO ELÉTRICO DE TOMADA DE USO GERAL 2P+T (10A/250V) EM EDIFÍCIO RESIDENCIAL COM ELETRODUTO EMBUTIDO EM RASGOS NAS PAREDES, INCLUSO TOMADA, ELETRODUTO, CABO, RASGO, QUEBRA E CHUMBAMENTO. AF_11/2022</v>
      </c>
      <c r="C578" s="227" t="s">
        <v>103</v>
      </c>
      <c r="D578" s="19"/>
      <c r="E578" s="228"/>
      <c r="F578" s="228"/>
      <c r="G578" s="19"/>
      <c r="H578" s="19"/>
    </row>
    <row r="579" spans="1:8" s="30" customFormat="1" x14ac:dyDescent="0.2">
      <c r="A579" s="31"/>
      <c r="B579" s="229" t="s">
        <v>545</v>
      </c>
      <c r="C579" s="229"/>
      <c r="D579" s="229"/>
      <c r="E579" s="33">
        <v>9</v>
      </c>
      <c r="F579" s="33"/>
      <c r="G579" s="33"/>
      <c r="H579" s="33">
        <f t="shared" ref="H579" si="28">ROUND(PRODUCT(D579:G579),2)</f>
        <v>9</v>
      </c>
    </row>
    <row r="580" spans="1:8" s="30" customFormat="1" x14ac:dyDescent="0.2">
      <c r="A580" s="31"/>
      <c r="B580" s="39" t="str">
        <f>"Total item "&amp;A578</f>
        <v>Total item 11.3</v>
      </c>
      <c r="C580" s="38"/>
      <c r="D580" s="33"/>
      <c r="E580" s="33"/>
      <c r="F580" s="33"/>
      <c r="G580" s="33"/>
      <c r="H580" s="19">
        <f>SUM(H579:H579)</f>
        <v>9</v>
      </c>
    </row>
    <row r="581" spans="1:8" s="30" customFormat="1" x14ac:dyDescent="0.2">
      <c r="A581" s="31"/>
      <c r="B581" s="223"/>
      <c r="C581" s="32"/>
      <c r="D581" s="224"/>
      <c r="E581" s="224"/>
      <c r="F581" s="224"/>
      <c r="G581" s="224"/>
      <c r="H581" s="224"/>
    </row>
    <row r="582" spans="1:8" s="30" customFormat="1" ht="67.5" x14ac:dyDescent="0.2">
      <c r="A582" s="225" t="s">
        <v>201</v>
      </c>
      <c r="B582" s="226" t="str">
        <f>COMPOSIÇÕES!A74</f>
        <v>COMPOSIÇÃO PARAMÉTRICA DE PONTO ELÉTRICO DE TOMADA DE USO ESPECÍFICO 2P+T (20A/250V) EM EDIFÍCIO RESIDENCIAL COM ELETRODUTO EMBUTIDO EM RASGOS NAS PAREDES, INCLUSO TOMADA, ELETRODUTO, CABO, RASGO, QUEBRA E CHUMBAMENTO (EXCETO CHUVEIRO). AF_11/2022</v>
      </c>
      <c r="C582" s="227" t="s">
        <v>103</v>
      </c>
      <c r="D582" s="19"/>
      <c r="E582" s="228"/>
      <c r="F582" s="228"/>
      <c r="G582" s="19"/>
      <c r="H582" s="19"/>
    </row>
    <row r="583" spans="1:8" s="30" customFormat="1" x14ac:dyDescent="0.2">
      <c r="A583" s="31"/>
      <c r="B583" s="229" t="s">
        <v>297</v>
      </c>
      <c r="C583" s="229"/>
      <c r="D583" s="229"/>
      <c r="E583" s="33"/>
      <c r="F583" s="33"/>
      <c r="G583" s="33"/>
      <c r="H583" s="33"/>
    </row>
    <row r="584" spans="1:8" s="30" customFormat="1" x14ac:dyDescent="0.2">
      <c r="A584" s="31"/>
      <c r="B584" s="229" t="s">
        <v>545</v>
      </c>
      <c r="C584" s="229"/>
      <c r="D584" s="229"/>
      <c r="E584" s="33">
        <v>4</v>
      </c>
      <c r="F584" s="33"/>
      <c r="G584" s="33"/>
      <c r="H584" s="33">
        <f t="shared" ref="H584" si="29">ROUND(PRODUCT(D584:G584),2)</f>
        <v>4</v>
      </c>
    </row>
    <row r="585" spans="1:8" s="30" customFormat="1" x14ac:dyDescent="0.2">
      <c r="A585" s="31"/>
      <c r="B585" s="39" t="str">
        <f>"Total item "&amp;A582</f>
        <v>Total item 11.4</v>
      </c>
      <c r="C585" s="38"/>
      <c r="D585" s="33"/>
      <c r="E585" s="33"/>
      <c r="F585" s="33"/>
      <c r="G585" s="33"/>
      <c r="H585" s="19">
        <f>SUM(H584:H584)</f>
        <v>4</v>
      </c>
    </row>
    <row r="586" spans="1:8" s="30" customFormat="1" x14ac:dyDescent="0.2">
      <c r="A586" s="31"/>
      <c r="B586" s="223"/>
      <c r="C586" s="32"/>
      <c r="D586" s="224"/>
      <c r="E586" s="224"/>
      <c r="F586" s="224"/>
      <c r="G586" s="224"/>
      <c r="H586" s="224"/>
    </row>
    <row r="587" spans="1:8" s="30" customFormat="1" ht="45" x14ac:dyDescent="0.2">
      <c r="A587" s="225" t="s">
        <v>253</v>
      </c>
      <c r="B587" s="226" t="s">
        <v>360</v>
      </c>
      <c r="C587" s="227" t="s">
        <v>103</v>
      </c>
      <c r="D587" s="19"/>
      <c r="E587" s="228"/>
      <c r="F587" s="228"/>
      <c r="G587" s="19"/>
      <c r="H587" s="19"/>
    </row>
    <row r="588" spans="1:8" s="30" customFormat="1" x14ac:dyDescent="0.2">
      <c r="A588" s="31"/>
      <c r="B588" s="229" t="s">
        <v>545</v>
      </c>
      <c r="C588" s="229"/>
      <c r="D588" s="229"/>
      <c r="E588" s="33">
        <v>32</v>
      </c>
      <c r="F588" s="33"/>
      <c r="G588" s="33"/>
      <c r="H588" s="33">
        <f t="shared" ref="H588" si="30">ROUND(PRODUCT(D588:G588),2)</f>
        <v>32</v>
      </c>
    </row>
    <row r="589" spans="1:8" s="30" customFormat="1" x14ac:dyDescent="0.2">
      <c r="A589" s="31"/>
      <c r="B589" s="39" t="str">
        <f>"Total item "&amp;A587</f>
        <v>Total item 11.5</v>
      </c>
      <c r="C589" s="38"/>
      <c r="D589" s="33"/>
      <c r="E589" s="33"/>
      <c r="F589" s="33"/>
      <c r="G589" s="33"/>
      <c r="H589" s="19">
        <f>SUM(H588:H588)</f>
        <v>32</v>
      </c>
    </row>
    <row r="590" spans="1:8" s="30" customFormat="1" x14ac:dyDescent="0.2">
      <c r="A590" s="31"/>
      <c r="B590" s="223"/>
      <c r="C590" s="32"/>
      <c r="D590" s="224"/>
      <c r="E590" s="224"/>
      <c r="F590" s="224"/>
      <c r="G590" s="224"/>
      <c r="H590" s="224"/>
    </row>
    <row r="591" spans="1:8" s="30" customFormat="1" ht="22.5" x14ac:dyDescent="0.2">
      <c r="A591" s="225" t="s">
        <v>254</v>
      </c>
      <c r="B591" s="226" t="s">
        <v>241</v>
      </c>
      <c r="C591" s="227" t="s">
        <v>138</v>
      </c>
      <c r="D591" s="19"/>
      <c r="E591" s="228"/>
      <c r="F591" s="228"/>
      <c r="G591" s="19"/>
      <c r="H591" s="19"/>
    </row>
    <row r="592" spans="1:8" s="30" customFormat="1" x14ac:dyDescent="0.2">
      <c r="A592" s="31"/>
      <c r="B592" s="229"/>
      <c r="C592" s="38"/>
      <c r="D592" s="33">
        <v>4</v>
      </c>
      <c r="E592" s="33"/>
      <c r="F592" s="33"/>
      <c r="G592" s="33"/>
      <c r="H592" s="33">
        <f>ROUND(PRODUCT(D592:G592),2)</f>
        <v>4</v>
      </c>
    </row>
    <row r="593" spans="1:8" s="30" customFormat="1" x14ac:dyDescent="0.2">
      <c r="A593" s="31"/>
      <c r="B593" s="39" t="str">
        <f>"Total item "&amp;A591</f>
        <v>Total item 11.6</v>
      </c>
      <c r="C593" s="38"/>
      <c r="D593" s="33"/>
      <c r="E593" s="33"/>
      <c r="F593" s="33"/>
      <c r="G593" s="33"/>
      <c r="H593" s="19">
        <f>SUM(H592:H592)</f>
        <v>4</v>
      </c>
    </row>
    <row r="594" spans="1:8" s="30" customFormat="1" x14ac:dyDescent="0.2">
      <c r="A594" s="31"/>
      <c r="B594" s="223"/>
      <c r="C594" s="32"/>
      <c r="D594" s="224"/>
      <c r="E594" s="224"/>
      <c r="F594" s="224"/>
      <c r="G594" s="224"/>
      <c r="H594" s="224"/>
    </row>
    <row r="595" spans="1:8" s="30" customFormat="1" ht="45" x14ac:dyDescent="0.2">
      <c r="A595" s="225" t="s">
        <v>255</v>
      </c>
      <c r="B595" s="226" t="s">
        <v>243</v>
      </c>
      <c r="C595" s="227" t="s">
        <v>103</v>
      </c>
      <c r="D595" s="19"/>
      <c r="E595" s="228"/>
      <c r="F595" s="228"/>
      <c r="G595" s="19"/>
      <c r="H595" s="19"/>
    </row>
    <row r="596" spans="1:8" s="30" customFormat="1" x14ac:dyDescent="0.2">
      <c r="A596" s="31"/>
      <c r="B596" s="39"/>
      <c r="C596" s="38"/>
      <c r="D596" s="33"/>
      <c r="E596" s="33"/>
      <c r="F596" s="33"/>
      <c r="G596" s="33"/>
      <c r="H596" s="33"/>
    </row>
    <row r="597" spans="1:8" s="30" customFormat="1" x14ac:dyDescent="0.2">
      <c r="A597" s="31"/>
      <c r="B597" s="229" t="s">
        <v>182</v>
      </c>
      <c r="C597" s="38"/>
      <c r="D597" s="33">
        <v>1</v>
      </c>
      <c r="E597" s="33"/>
      <c r="F597" s="33"/>
      <c r="G597" s="33"/>
      <c r="H597" s="33">
        <f>ROUND(PRODUCT(D597:G597),2)</f>
        <v>1</v>
      </c>
    </row>
    <row r="598" spans="1:8" s="30" customFormat="1" x14ac:dyDescent="0.2">
      <c r="A598" s="31"/>
      <c r="B598" s="39" t="str">
        <f>"Total item "&amp;A595</f>
        <v>Total item 11.7</v>
      </c>
      <c r="C598" s="38"/>
      <c r="D598" s="33"/>
      <c r="E598" s="33"/>
      <c r="F598" s="33"/>
      <c r="G598" s="33"/>
      <c r="H598" s="19">
        <f>SUM(H596:H597)</f>
        <v>1</v>
      </c>
    </row>
    <row r="599" spans="1:8" s="30" customFormat="1" x14ac:dyDescent="0.2">
      <c r="A599" s="31"/>
      <c r="B599" s="222"/>
      <c r="C599" s="32"/>
      <c r="D599" s="224"/>
      <c r="E599" s="224"/>
      <c r="F599" s="224"/>
      <c r="G599" s="224"/>
      <c r="H599" s="224"/>
    </row>
    <row r="600" spans="1:8" s="30" customFormat="1" ht="33.75" x14ac:dyDescent="0.2">
      <c r="A600" s="225" t="s">
        <v>256</v>
      </c>
      <c r="B600" s="226" t="s">
        <v>376</v>
      </c>
      <c r="C600" s="227" t="s">
        <v>100</v>
      </c>
      <c r="D600" s="19"/>
      <c r="E600" s="228"/>
      <c r="F600" s="228"/>
      <c r="G600" s="19"/>
      <c r="H600" s="19"/>
    </row>
    <row r="601" spans="1:8" s="30" customFormat="1" x14ac:dyDescent="0.2">
      <c r="A601" s="31"/>
      <c r="B601" s="229" t="s">
        <v>374</v>
      </c>
      <c r="C601" s="38"/>
      <c r="D601" s="33">
        <v>45</v>
      </c>
      <c r="E601" s="33"/>
      <c r="F601" s="33"/>
      <c r="G601" s="33"/>
      <c r="H601" s="33">
        <f>ROUND(PRODUCT(D601:G601),2)</f>
        <v>45</v>
      </c>
    </row>
    <row r="602" spans="1:8" s="30" customFormat="1" x14ac:dyDescent="0.2">
      <c r="A602" s="31"/>
      <c r="B602" s="39" t="str">
        <f>"Total item "&amp;A600</f>
        <v>Total item 11.8</v>
      </c>
      <c r="C602" s="38"/>
      <c r="D602" s="33"/>
      <c r="E602" s="33"/>
      <c r="F602" s="33"/>
      <c r="G602" s="33"/>
      <c r="H602" s="19">
        <f>SUM(H601:H601)</f>
        <v>45</v>
      </c>
    </row>
    <row r="603" spans="1:8" s="30" customFormat="1" x14ac:dyDescent="0.2">
      <c r="A603" s="31"/>
      <c r="B603" s="223"/>
      <c r="C603" s="32"/>
      <c r="D603" s="224"/>
      <c r="E603" s="224"/>
      <c r="F603" s="224"/>
      <c r="G603" s="224"/>
      <c r="H603" s="224"/>
    </row>
    <row r="604" spans="1:8" s="30" customFormat="1" ht="33.75" x14ac:dyDescent="0.2">
      <c r="A604" s="225" t="s">
        <v>257</v>
      </c>
      <c r="B604" s="226" t="s">
        <v>248</v>
      </c>
      <c r="C604" s="227" t="s">
        <v>103</v>
      </c>
      <c r="D604" s="19"/>
      <c r="E604" s="228"/>
      <c r="F604" s="228"/>
      <c r="G604" s="19"/>
      <c r="H604" s="19"/>
    </row>
    <row r="605" spans="1:8" s="30" customFormat="1" x14ac:dyDescent="0.2">
      <c r="A605" s="31"/>
      <c r="B605" s="229" t="s">
        <v>298</v>
      </c>
      <c r="C605" s="38"/>
      <c r="D605" s="33">
        <v>2</v>
      </c>
      <c r="E605" s="33"/>
      <c r="F605" s="33"/>
      <c r="G605" s="33"/>
      <c r="H605" s="33">
        <f>ROUND(PRODUCT(D605:G605),2)</f>
        <v>2</v>
      </c>
    </row>
    <row r="606" spans="1:8" s="30" customFormat="1" x14ac:dyDescent="0.2">
      <c r="A606" s="31"/>
      <c r="B606" s="39" t="str">
        <f>"Total item "&amp;A604</f>
        <v>Total item 11.9</v>
      </c>
      <c r="C606" s="38"/>
      <c r="D606" s="33"/>
      <c r="E606" s="33"/>
      <c r="F606" s="33"/>
      <c r="G606" s="33"/>
      <c r="H606" s="19">
        <f>SUM(H605:H605)</f>
        <v>2</v>
      </c>
    </row>
    <row r="607" spans="1:8" s="30" customFormat="1" x14ac:dyDescent="0.2">
      <c r="A607" s="31"/>
      <c r="B607" s="223"/>
      <c r="C607" s="32"/>
      <c r="D607" s="224"/>
      <c r="E607" s="224"/>
      <c r="F607" s="224"/>
      <c r="G607" s="224"/>
      <c r="H607" s="224"/>
    </row>
    <row r="608" spans="1:8" s="30" customFormat="1" ht="33.75" x14ac:dyDescent="0.2">
      <c r="A608" s="225" t="s">
        <v>258</v>
      </c>
      <c r="B608" s="226" t="s">
        <v>364</v>
      </c>
      <c r="C608" s="227" t="s">
        <v>103</v>
      </c>
      <c r="D608" s="19"/>
      <c r="E608" s="228"/>
      <c r="F608" s="228"/>
      <c r="G608" s="19"/>
      <c r="H608" s="19"/>
    </row>
    <row r="609" spans="1:8" s="30" customFormat="1" x14ac:dyDescent="0.2">
      <c r="A609" s="31"/>
      <c r="B609" s="39" t="s">
        <v>219</v>
      </c>
      <c r="C609" s="38"/>
      <c r="D609" s="33">
        <v>2</v>
      </c>
      <c r="E609" s="33"/>
      <c r="F609" s="33"/>
      <c r="G609" s="33"/>
      <c r="H609" s="33">
        <f>ROUND(PRODUCT(D609:G609),2)</f>
        <v>2</v>
      </c>
    </row>
    <row r="610" spans="1:8" s="30" customFormat="1" x14ac:dyDescent="0.2">
      <c r="A610" s="31"/>
      <c r="B610" s="39" t="s">
        <v>439</v>
      </c>
      <c r="C610" s="38"/>
      <c r="D610" s="33">
        <v>1</v>
      </c>
      <c r="E610" s="33"/>
      <c r="F610" s="33"/>
      <c r="G610" s="33"/>
      <c r="H610" s="33">
        <f>ROUND(PRODUCT(D610:G610),2)</f>
        <v>1</v>
      </c>
    </row>
    <row r="611" spans="1:8" s="30" customFormat="1" x14ac:dyDescent="0.2">
      <c r="A611" s="31"/>
      <c r="B611" s="39" t="str">
        <f>"Total item "&amp;A608</f>
        <v>Total item 11.10</v>
      </c>
      <c r="C611" s="38"/>
      <c r="D611" s="33"/>
      <c r="E611" s="33"/>
      <c r="F611" s="33"/>
      <c r="G611" s="33"/>
      <c r="H611" s="19">
        <f>SUM(H609:H610)</f>
        <v>3</v>
      </c>
    </row>
    <row r="612" spans="1:8" s="30" customFormat="1" x14ac:dyDescent="0.2">
      <c r="A612" s="31"/>
      <c r="B612" s="223"/>
      <c r="C612" s="32"/>
      <c r="D612" s="224"/>
      <c r="E612" s="224"/>
      <c r="F612" s="224"/>
      <c r="G612" s="224"/>
      <c r="H612" s="224"/>
    </row>
    <row r="613" spans="1:8" s="30" customFormat="1" ht="33.75" x14ac:dyDescent="0.2">
      <c r="A613" s="225" t="s">
        <v>259</v>
      </c>
      <c r="B613" s="226" t="s">
        <v>367</v>
      </c>
      <c r="C613" s="227" t="s">
        <v>103</v>
      </c>
      <c r="D613" s="19"/>
      <c r="E613" s="228"/>
      <c r="F613" s="228"/>
      <c r="G613" s="19"/>
      <c r="H613" s="19"/>
    </row>
    <row r="614" spans="1:8" s="30" customFormat="1" x14ac:dyDescent="0.2">
      <c r="A614" s="31"/>
      <c r="B614" s="39" t="s">
        <v>217</v>
      </c>
      <c r="C614" s="38"/>
      <c r="D614" s="33"/>
      <c r="E614" s="33"/>
      <c r="F614" s="33"/>
      <c r="G614" s="33"/>
      <c r="H614" s="33"/>
    </row>
    <row r="615" spans="1:8" s="30" customFormat="1" x14ac:dyDescent="0.2">
      <c r="A615" s="31"/>
      <c r="B615" s="229" t="s">
        <v>216</v>
      </c>
      <c r="C615" s="38"/>
      <c r="D615" s="33">
        <v>4</v>
      </c>
      <c r="E615" s="33"/>
      <c r="F615" s="33"/>
      <c r="G615" s="33"/>
      <c r="H615" s="33">
        <f>ROUND(PRODUCT(D615:G615),2)</f>
        <v>4</v>
      </c>
    </row>
    <row r="616" spans="1:8" s="30" customFormat="1" x14ac:dyDescent="0.2">
      <c r="A616" s="31"/>
      <c r="B616" s="229" t="s">
        <v>218</v>
      </c>
      <c r="C616" s="38"/>
      <c r="D616" s="33">
        <v>2</v>
      </c>
      <c r="E616" s="33"/>
      <c r="F616" s="33"/>
      <c r="G616" s="33"/>
      <c r="H616" s="33">
        <f>ROUND(PRODUCT(D616:G616),2)</f>
        <v>2</v>
      </c>
    </row>
    <row r="617" spans="1:8" s="30" customFormat="1" x14ac:dyDescent="0.2">
      <c r="A617" s="31"/>
      <c r="B617" s="39" t="str">
        <f>"Total item "&amp;A613</f>
        <v>Total item 11.11</v>
      </c>
      <c r="C617" s="38"/>
      <c r="D617" s="33"/>
      <c r="E617" s="33"/>
      <c r="F617" s="33"/>
      <c r="G617" s="33"/>
      <c r="H617" s="19">
        <f>SUM(H614:H616)</f>
        <v>6</v>
      </c>
    </row>
    <row r="618" spans="1:8" s="30" customFormat="1" x14ac:dyDescent="0.2">
      <c r="A618" s="31"/>
      <c r="B618" s="223"/>
      <c r="C618" s="32"/>
      <c r="D618" s="224"/>
      <c r="E618" s="224"/>
      <c r="F618" s="224"/>
      <c r="G618" s="224"/>
      <c r="H618" s="224"/>
    </row>
    <row r="619" spans="1:8" s="30" customFormat="1" ht="22.5" x14ac:dyDescent="0.2">
      <c r="A619" s="225" t="s">
        <v>260</v>
      </c>
      <c r="B619" s="226" t="s">
        <v>372</v>
      </c>
      <c r="C619" s="227" t="s">
        <v>138</v>
      </c>
      <c r="D619" s="19"/>
      <c r="E619" s="228"/>
      <c r="F619" s="228"/>
      <c r="G619" s="19"/>
      <c r="H619" s="19"/>
    </row>
    <row r="620" spans="1:8" s="30" customFormat="1" x14ac:dyDescent="0.2">
      <c r="A620" s="31"/>
      <c r="B620" s="229" t="s">
        <v>249</v>
      </c>
      <c r="C620" s="38"/>
      <c r="D620" s="33">
        <v>1</v>
      </c>
      <c r="E620" s="33"/>
      <c r="F620" s="33"/>
      <c r="G620" s="33"/>
      <c r="H620" s="33">
        <f>ROUND(PRODUCT(D620:G620),2)</f>
        <v>1</v>
      </c>
    </row>
    <row r="621" spans="1:8" s="30" customFormat="1" x14ac:dyDescent="0.2">
      <c r="A621" s="31"/>
      <c r="B621" s="39" t="str">
        <f>"Total item "&amp;A619</f>
        <v>Total item 11.12</v>
      </c>
      <c r="C621" s="38"/>
      <c r="D621" s="33"/>
      <c r="E621" s="33"/>
      <c r="F621" s="33"/>
      <c r="G621" s="33"/>
      <c r="H621" s="19">
        <f>SUM(H620:H620)</f>
        <v>1</v>
      </c>
    </row>
    <row r="622" spans="1:8" s="30" customFormat="1" x14ac:dyDescent="0.2">
      <c r="A622" s="31"/>
      <c r="B622" s="222"/>
      <c r="C622" s="32"/>
      <c r="D622" s="224"/>
      <c r="E622" s="224"/>
      <c r="F622" s="224"/>
      <c r="G622" s="224"/>
      <c r="H622" s="224"/>
    </row>
    <row r="623" spans="1:8" s="30" customFormat="1" ht="33.75" x14ac:dyDescent="0.2">
      <c r="A623" s="225" t="s">
        <v>261</v>
      </c>
      <c r="B623" s="226" t="s">
        <v>370</v>
      </c>
      <c r="C623" s="227" t="s">
        <v>103</v>
      </c>
      <c r="D623" s="19"/>
      <c r="E623" s="228"/>
      <c r="F623" s="228"/>
      <c r="G623" s="19"/>
      <c r="H623" s="19"/>
    </row>
    <row r="624" spans="1:8" s="30" customFormat="1" x14ac:dyDescent="0.2">
      <c r="A624" s="31"/>
      <c r="B624" s="229" t="s">
        <v>299</v>
      </c>
      <c r="C624" s="38"/>
      <c r="D624" s="33">
        <v>1</v>
      </c>
      <c r="E624" s="33"/>
      <c r="F624" s="33"/>
      <c r="G624" s="33"/>
      <c r="H624" s="33">
        <f>ROUND(PRODUCT(D624:G624),2)</f>
        <v>1</v>
      </c>
    </row>
    <row r="625" spans="1:8" s="30" customFormat="1" x14ac:dyDescent="0.2">
      <c r="A625" s="31"/>
      <c r="B625" s="39" t="str">
        <f>"Total item "&amp;A623</f>
        <v>Total item 11.13</v>
      </c>
      <c r="C625" s="38"/>
      <c r="D625" s="33"/>
      <c r="E625" s="33"/>
      <c r="F625" s="33"/>
      <c r="G625" s="33"/>
      <c r="H625" s="19">
        <f>SUM(H624:H624)</f>
        <v>1</v>
      </c>
    </row>
    <row r="626" spans="1:8" s="30" customFormat="1" x14ac:dyDescent="0.2">
      <c r="A626" s="31"/>
      <c r="B626" s="223"/>
      <c r="C626" s="32"/>
      <c r="D626" s="224"/>
      <c r="E626" s="224"/>
      <c r="F626" s="224"/>
      <c r="G626" s="224"/>
      <c r="H626" s="224"/>
    </row>
    <row r="627" spans="1:8" s="30" customFormat="1" ht="33.75" x14ac:dyDescent="0.2">
      <c r="A627" s="225" t="s">
        <v>457</v>
      </c>
      <c r="B627" s="226" t="s">
        <v>251</v>
      </c>
      <c r="C627" s="227" t="s">
        <v>103</v>
      </c>
      <c r="D627" s="19"/>
      <c r="E627" s="228"/>
      <c r="F627" s="228"/>
      <c r="G627" s="19"/>
      <c r="H627" s="19"/>
    </row>
    <row r="628" spans="1:8" s="30" customFormat="1" x14ac:dyDescent="0.2">
      <c r="A628" s="31"/>
      <c r="B628" s="229" t="s">
        <v>545</v>
      </c>
      <c r="C628" s="38"/>
      <c r="D628" s="33">
        <v>1</v>
      </c>
      <c r="E628" s="33"/>
      <c r="F628" s="33"/>
      <c r="G628" s="33"/>
      <c r="H628" s="33">
        <f>ROUND(PRODUCT(D628:G628),2)</f>
        <v>1</v>
      </c>
    </row>
    <row r="629" spans="1:8" s="30" customFormat="1" x14ac:dyDescent="0.2">
      <c r="A629" s="31"/>
      <c r="B629" s="39" t="str">
        <f>"Total item "&amp;A627</f>
        <v>Total item 11.14</v>
      </c>
      <c r="C629" s="38"/>
      <c r="D629" s="33"/>
      <c r="E629" s="33"/>
      <c r="F629" s="33"/>
      <c r="G629" s="33"/>
      <c r="H629" s="19">
        <f>SUM(H628:H628)</f>
        <v>1</v>
      </c>
    </row>
    <row r="630" spans="1:8" s="30" customFormat="1" x14ac:dyDescent="0.2">
      <c r="A630" s="31"/>
      <c r="B630" s="223"/>
      <c r="C630" s="32"/>
      <c r="D630" s="224"/>
      <c r="E630" s="224"/>
      <c r="F630" s="224"/>
      <c r="G630" s="224"/>
      <c r="H630" s="224"/>
    </row>
    <row r="631" spans="1:8" s="30" customFormat="1" x14ac:dyDescent="0.2">
      <c r="A631" s="213" t="s">
        <v>177</v>
      </c>
      <c r="B631" s="215" t="s">
        <v>46</v>
      </c>
      <c r="C631" s="216"/>
      <c r="D631" s="217"/>
      <c r="E631" s="217"/>
      <c r="F631" s="217"/>
      <c r="G631" s="217"/>
      <c r="H631" s="217"/>
    </row>
    <row r="632" spans="1:8" s="30" customFormat="1" x14ac:dyDescent="0.2">
      <c r="A632" s="31"/>
      <c r="B632" s="223"/>
      <c r="C632" s="32"/>
      <c r="D632" s="224"/>
      <c r="E632" s="224"/>
      <c r="F632" s="224"/>
      <c r="G632" s="224"/>
      <c r="H632" s="224"/>
    </row>
    <row r="633" spans="1:8" s="30" customFormat="1" ht="45" x14ac:dyDescent="0.2">
      <c r="A633" s="225" t="s">
        <v>36</v>
      </c>
      <c r="B633" s="226" t="s">
        <v>378</v>
      </c>
      <c r="C633" s="227" t="s">
        <v>103</v>
      </c>
      <c r="D633" s="19"/>
      <c r="E633" s="228"/>
      <c r="F633" s="228"/>
      <c r="G633" s="19"/>
      <c r="H633" s="19"/>
    </row>
    <row r="634" spans="1:8" s="30" customFormat="1" x14ac:dyDescent="0.2">
      <c r="A634" s="31"/>
      <c r="B634" s="229" t="s">
        <v>297</v>
      </c>
      <c r="C634" s="38"/>
      <c r="D634" s="33">
        <v>4</v>
      </c>
      <c r="E634" s="33"/>
      <c r="F634" s="33"/>
      <c r="G634" s="33"/>
      <c r="H634" s="33">
        <f>ROUND(PRODUCT(D634:G634),2)</f>
        <v>4</v>
      </c>
    </row>
    <row r="635" spans="1:8" s="30" customFormat="1" x14ac:dyDescent="0.2">
      <c r="A635" s="31"/>
      <c r="B635" s="39" t="str">
        <f>"Total item "&amp;A633</f>
        <v>Total item 12.1</v>
      </c>
      <c r="C635" s="38"/>
      <c r="D635" s="33"/>
      <c r="E635" s="33"/>
      <c r="F635" s="33"/>
      <c r="G635" s="33"/>
      <c r="H635" s="19">
        <f>SUM(H634:H634)</f>
        <v>4</v>
      </c>
    </row>
    <row r="636" spans="1:8" s="30" customFormat="1" x14ac:dyDescent="0.2">
      <c r="A636" s="31"/>
      <c r="B636" s="223"/>
      <c r="C636" s="32"/>
      <c r="D636" s="224"/>
      <c r="E636" s="224"/>
      <c r="F636" s="224"/>
      <c r="G636" s="224"/>
      <c r="H636" s="224"/>
    </row>
    <row r="637" spans="1:8" s="30" customFormat="1" ht="33.75" x14ac:dyDescent="0.2">
      <c r="A637" s="225" t="s">
        <v>202</v>
      </c>
      <c r="B637" s="226" t="s">
        <v>381</v>
      </c>
      <c r="C637" s="227" t="s">
        <v>100</v>
      </c>
      <c r="D637" s="19"/>
      <c r="E637" s="228"/>
      <c r="F637" s="228"/>
      <c r="G637" s="19"/>
      <c r="H637" s="19"/>
    </row>
    <row r="638" spans="1:8" s="30" customFormat="1" x14ac:dyDescent="0.2">
      <c r="A638" s="31"/>
      <c r="B638" s="229" t="s">
        <v>300</v>
      </c>
      <c r="C638" s="38"/>
      <c r="D638" s="33">
        <v>4</v>
      </c>
      <c r="E638" s="33">
        <v>6</v>
      </c>
      <c r="F638" s="33"/>
      <c r="G638" s="33"/>
      <c r="H638" s="33">
        <f>ROUND(PRODUCT(D638:G638),2)</f>
        <v>24</v>
      </c>
    </row>
    <row r="639" spans="1:8" s="30" customFormat="1" x14ac:dyDescent="0.2">
      <c r="A639" s="31"/>
      <c r="B639" s="39" t="str">
        <f>"Total item "&amp;A637</f>
        <v>Total item 12.2</v>
      </c>
      <c r="C639" s="38"/>
      <c r="D639" s="33"/>
      <c r="E639" s="33"/>
      <c r="F639" s="33"/>
      <c r="G639" s="33"/>
      <c r="H639" s="19">
        <f>SUM(H638:H638)</f>
        <v>24</v>
      </c>
    </row>
    <row r="640" spans="1:8" s="30" customFormat="1" x14ac:dyDescent="0.2">
      <c r="A640" s="31"/>
      <c r="B640" s="223"/>
      <c r="C640" s="32"/>
      <c r="D640" s="224"/>
      <c r="E640" s="224"/>
      <c r="F640" s="224"/>
      <c r="G640" s="224"/>
      <c r="H640" s="224"/>
    </row>
    <row r="641" spans="1:8" s="30" customFormat="1" x14ac:dyDescent="0.2">
      <c r="A641" s="213" t="s">
        <v>178</v>
      </c>
      <c r="B641" s="215" t="s">
        <v>45</v>
      </c>
      <c r="C641" s="216"/>
      <c r="D641" s="217"/>
      <c r="E641" s="217"/>
      <c r="F641" s="217"/>
      <c r="G641" s="217"/>
      <c r="H641" s="217"/>
    </row>
    <row r="642" spans="1:8" s="30" customFormat="1" x14ac:dyDescent="0.2">
      <c r="A642" s="31"/>
      <c r="B642" s="223"/>
      <c r="C642" s="32"/>
      <c r="D642" s="224"/>
      <c r="E642" s="224"/>
      <c r="F642" s="224"/>
      <c r="G642" s="224"/>
      <c r="H642" s="224"/>
    </row>
    <row r="643" spans="1:8" s="30" customFormat="1" ht="33.75" x14ac:dyDescent="0.2">
      <c r="A643" s="225" t="s">
        <v>102</v>
      </c>
      <c r="B643" s="226" t="s">
        <v>383</v>
      </c>
      <c r="C643" s="227" t="s">
        <v>103</v>
      </c>
      <c r="D643" s="19"/>
      <c r="E643" s="228"/>
      <c r="F643" s="19"/>
      <c r="G643" s="19"/>
      <c r="H643" s="19"/>
    </row>
    <row r="644" spans="1:8" s="30" customFormat="1" x14ac:dyDescent="0.2">
      <c r="A644" s="31"/>
      <c r="B644" s="39"/>
      <c r="C644" s="38"/>
      <c r="D644" s="33">
        <v>1</v>
      </c>
      <c r="E644" s="33"/>
      <c r="F644" s="33"/>
      <c r="G644" s="33"/>
      <c r="H644" s="33">
        <f>ROUND(PRODUCT(D644:G644),2)</f>
        <v>1</v>
      </c>
    </row>
    <row r="645" spans="1:8" s="30" customFormat="1" x14ac:dyDescent="0.2">
      <c r="A645" s="31"/>
      <c r="B645" s="39" t="str">
        <f>"Total item "&amp;A643</f>
        <v>Total item 13.1</v>
      </c>
      <c r="C645" s="38"/>
      <c r="D645" s="33"/>
      <c r="E645" s="33"/>
      <c r="F645" s="33"/>
      <c r="G645" s="33"/>
      <c r="H645" s="19">
        <f>SUM(H644:H644)</f>
        <v>1</v>
      </c>
    </row>
    <row r="646" spans="1:8" s="30" customFormat="1" x14ac:dyDescent="0.2">
      <c r="A646" s="31"/>
      <c r="B646" s="223"/>
      <c r="C646" s="32"/>
      <c r="D646" s="224"/>
      <c r="E646" s="224"/>
      <c r="F646" s="224"/>
      <c r="G646" s="224"/>
      <c r="H646" s="224"/>
    </row>
    <row r="647" spans="1:8" s="30" customFormat="1" ht="22.5" x14ac:dyDescent="0.2">
      <c r="A647" s="225" t="s">
        <v>204</v>
      </c>
      <c r="B647" s="226" t="s">
        <v>458</v>
      </c>
      <c r="C647" s="227" t="s">
        <v>103</v>
      </c>
      <c r="D647" s="19"/>
      <c r="E647" s="228"/>
      <c r="F647" s="19"/>
      <c r="G647" s="19"/>
      <c r="H647" s="19"/>
    </row>
    <row r="648" spans="1:8" s="30" customFormat="1" x14ac:dyDescent="0.2">
      <c r="A648" s="31"/>
      <c r="B648" s="39"/>
      <c r="C648" s="38"/>
      <c r="D648" s="33">
        <v>1</v>
      </c>
      <c r="E648" s="33"/>
      <c r="F648" s="33"/>
      <c r="G648" s="33"/>
      <c r="H648" s="33">
        <f>ROUND(PRODUCT(D648:G648),2)</f>
        <v>1</v>
      </c>
    </row>
    <row r="649" spans="1:8" s="30" customFormat="1" x14ac:dyDescent="0.2">
      <c r="A649" s="31"/>
      <c r="B649" s="39" t="str">
        <f>"Total item "&amp;A647</f>
        <v>Total item 13.2</v>
      </c>
      <c r="C649" s="38"/>
      <c r="D649" s="33"/>
      <c r="E649" s="33"/>
      <c r="F649" s="33"/>
      <c r="G649" s="33"/>
      <c r="H649" s="19">
        <f>SUM(H648:H648)</f>
        <v>1</v>
      </c>
    </row>
    <row r="650" spans="1:8" s="30" customFormat="1" x14ac:dyDescent="0.2">
      <c r="A650" s="31"/>
      <c r="B650" s="223"/>
      <c r="C650" s="32"/>
      <c r="D650" s="224"/>
      <c r="E650" s="224"/>
      <c r="F650" s="224"/>
      <c r="G650" s="224"/>
      <c r="H650" s="224"/>
    </row>
    <row r="651" spans="1:8" s="30" customFormat="1" x14ac:dyDescent="0.2">
      <c r="A651" s="31"/>
      <c r="B651" s="223"/>
      <c r="C651" s="32"/>
      <c r="D651" s="224"/>
      <c r="E651" s="224"/>
      <c r="F651" s="224"/>
      <c r="G651" s="224"/>
      <c r="H651" s="224"/>
    </row>
  </sheetData>
  <autoFilter ref="A12:H651" xr:uid="{00000000-0009-0000-0000-000000000000}"/>
  <mergeCells count="5">
    <mergeCell ref="A8:H8"/>
    <mergeCell ref="A1:H1"/>
    <mergeCell ref="A3:H3"/>
    <mergeCell ref="A4:H4"/>
    <mergeCell ref="A13:H13"/>
  </mergeCells>
  <printOptions horizontalCentered="1"/>
  <pageMargins left="0.59055118110236227" right="0.39370078740157483" top="1.3779527559055118" bottom="0.78740157480314965" header="0.39370078740157483" footer="0.39370078740157483"/>
  <pageSetup paperSize="9" scale="95" fitToHeight="0" orientation="portrait" r:id="rId1"/>
  <headerFooter>
    <oddHeader>&amp;L&amp;G&amp;R&amp;G</oddHeader>
    <oddFooter>&amp;R&amp;"Arial,Normal"&amp;8Pág. 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92FB-0280-4A4D-BE3F-62E1CA2D7622}">
  <sheetPr>
    <tabColor rgb="FF00B050"/>
    <pageSetUpPr fitToPage="1"/>
  </sheetPr>
  <dimension ref="A1:W337"/>
  <sheetViews>
    <sheetView view="pageBreakPreview" zoomScaleNormal="100" zoomScaleSheetLayoutView="100" workbookViewId="0">
      <selection activeCell="B83" sqref="B83"/>
    </sheetView>
  </sheetViews>
  <sheetFormatPr defaultRowHeight="12" x14ac:dyDescent="0.2"/>
  <cols>
    <col min="1" max="1" width="12.28515625" style="171" customWidth="1"/>
    <col min="2" max="2" width="10.85546875" style="171" customWidth="1"/>
    <col min="3" max="3" width="53.28515625" style="171" customWidth="1"/>
    <col min="4" max="4" width="9.28515625" style="171" bestFit="1" customWidth="1"/>
    <col min="5" max="5" width="10.5703125" style="171" customWidth="1"/>
    <col min="6" max="6" width="9.85546875" style="171" customWidth="1"/>
    <col min="7" max="7" width="13" style="171" customWidth="1"/>
    <col min="8" max="8" width="8.28515625" style="171" customWidth="1"/>
    <col min="9" max="9" width="12.5703125" style="171" customWidth="1"/>
    <col min="10" max="10" width="15" style="171" bestFit="1" customWidth="1"/>
    <col min="11" max="12" width="9.28515625" style="171" bestFit="1" customWidth="1"/>
    <col min="13" max="257" width="9.140625" style="171"/>
    <col min="258" max="258" width="17.5703125" style="171" customWidth="1"/>
    <col min="259" max="259" width="47.5703125" style="171" customWidth="1"/>
    <col min="260" max="260" width="9.140625" style="171"/>
    <col min="261" max="261" width="10.28515625" style="171" customWidth="1"/>
    <col min="262" max="262" width="11.7109375" style="171" customWidth="1"/>
    <col min="263" max="263" width="15.85546875" style="171" customWidth="1"/>
    <col min="264" max="513" width="9.140625" style="171"/>
    <col min="514" max="514" width="17.5703125" style="171" customWidth="1"/>
    <col min="515" max="515" width="47.5703125" style="171" customWidth="1"/>
    <col min="516" max="516" width="9.140625" style="171"/>
    <col min="517" max="517" width="10.28515625" style="171" customWidth="1"/>
    <col min="518" max="518" width="11.7109375" style="171" customWidth="1"/>
    <col min="519" max="519" width="15.85546875" style="171" customWidth="1"/>
    <col min="520" max="769" width="9.140625" style="171"/>
    <col min="770" max="770" width="17.5703125" style="171" customWidth="1"/>
    <col min="771" max="771" width="47.5703125" style="171" customWidth="1"/>
    <col min="772" max="772" width="9.140625" style="171"/>
    <col min="773" max="773" width="10.28515625" style="171" customWidth="1"/>
    <col min="774" max="774" width="11.7109375" style="171" customWidth="1"/>
    <col min="775" max="775" width="15.85546875" style="171" customWidth="1"/>
    <col min="776" max="1025" width="9.140625" style="171"/>
    <col min="1026" max="1026" width="17.5703125" style="171" customWidth="1"/>
    <col min="1027" max="1027" width="47.5703125" style="171" customWidth="1"/>
    <col min="1028" max="1028" width="9.140625" style="171"/>
    <col min="1029" max="1029" width="10.28515625" style="171" customWidth="1"/>
    <col min="1030" max="1030" width="11.7109375" style="171" customWidth="1"/>
    <col min="1031" max="1031" width="15.85546875" style="171" customWidth="1"/>
    <col min="1032" max="1281" width="9.140625" style="171"/>
    <col min="1282" max="1282" width="17.5703125" style="171" customWidth="1"/>
    <col min="1283" max="1283" width="47.5703125" style="171" customWidth="1"/>
    <col min="1284" max="1284" width="9.140625" style="171"/>
    <col min="1285" max="1285" width="10.28515625" style="171" customWidth="1"/>
    <col min="1286" max="1286" width="11.7109375" style="171" customWidth="1"/>
    <col min="1287" max="1287" width="15.85546875" style="171" customWidth="1"/>
    <col min="1288" max="1537" width="9.140625" style="171"/>
    <col min="1538" max="1538" width="17.5703125" style="171" customWidth="1"/>
    <col min="1539" max="1539" width="47.5703125" style="171" customWidth="1"/>
    <col min="1540" max="1540" width="9.140625" style="171"/>
    <col min="1541" max="1541" width="10.28515625" style="171" customWidth="1"/>
    <col min="1542" max="1542" width="11.7109375" style="171" customWidth="1"/>
    <col min="1543" max="1543" width="15.85546875" style="171" customWidth="1"/>
    <col min="1544" max="1793" width="9.140625" style="171"/>
    <col min="1794" max="1794" width="17.5703125" style="171" customWidth="1"/>
    <col min="1795" max="1795" width="47.5703125" style="171" customWidth="1"/>
    <col min="1796" max="1796" width="9.140625" style="171"/>
    <col min="1797" max="1797" width="10.28515625" style="171" customWidth="1"/>
    <col min="1798" max="1798" width="11.7109375" style="171" customWidth="1"/>
    <col min="1799" max="1799" width="15.85546875" style="171" customWidth="1"/>
    <col min="1800" max="2049" width="9.140625" style="171"/>
    <col min="2050" max="2050" width="17.5703125" style="171" customWidth="1"/>
    <col min="2051" max="2051" width="47.5703125" style="171" customWidth="1"/>
    <col min="2052" max="2052" width="9.140625" style="171"/>
    <col min="2053" max="2053" width="10.28515625" style="171" customWidth="1"/>
    <col min="2054" max="2054" width="11.7109375" style="171" customWidth="1"/>
    <col min="2055" max="2055" width="15.85546875" style="171" customWidth="1"/>
    <col min="2056" max="2305" width="9.140625" style="171"/>
    <col min="2306" max="2306" width="17.5703125" style="171" customWidth="1"/>
    <col min="2307" max="2307" width="47.5703125" style="171" customWidth="1"/>
    <col min="2308" max="2308" width="9.140625" style="171"/>
    <col min="2309" max="2309" width="10.28515625" style="171" customWidth="1"/>
    <col min="2310" max="2310" width="11.7109375" style="171" customWidth="1"/>
    <col min="2311" max="2311" width="15.85546875" style="171" customWidth="1"/>
    <col min="2312" max="2561" width="9.140625" style="171"/>
    <col min="2562" max="2562" width="17.5703125" style="171" customWidth="1"/>
    <col min="2563" max="2563" width="47.5703125" style="171" customWidth="1"/>
    <col min="2564" max="2564" width="9.140625" style="171"/>
    <col min="2565" max="2565" width="10.28515625" style="171" customWidth="1"/>
    <col min="2566" max="2566" width="11.7109375" style="171" customWidth="1"/>
    <col min="2567" max="2567" width="15.85546875" style="171" customWidth="1"/>
    <col min="2568" max="2817" width="9.140625" style="171"/>
    <col min="2818" max="2818" width="17.5703125" style="171" customWidth="1"/>
    <col min="2819" max="2819" width="47.5703125" style="171" customWidth="1"/>
    <col min="2820" max="2820" width="9.140625" style="171"/>
    <col min="2821" max="2821" width="10.28515625" style="171" customWidth="1"/>
    <col min="2822" max="2822" width="11.7109375" style="171" customWidth="1"/>
    <col min="2823" max="2823" width="15.85546875" style="171" customWidth="1"/>
    <col min="2824" max="3073" width="9.140625" style="171"/>
    <col min="3074" max="3074" width="17.5703125" style="171" customWidth="1"/>
    <col min="3075" max="3075" width="47.5703125" style="171" customWidth="1"/>
    <col min="3076" max="3076" width="9.140625" style="171"/>
    <col min="3077" max="3077" width="10.28515625" style="171" customWidth="1"/>
    <col min="3078" max="3078" width="11.7109375" style="171" customWidth="1"/>
    <col min="3079" max="3079" width="15.85546875" style="171" customWidth="1"/>
    <col min="3080" max="3329" width="9.140625" style="171"/>
    <col min="3330" max="3330" width="17.5703125" style="171" customWidth="1"/>
    <col min="3331" max="3331" width="47.5703125" style="171" customWidth="1"/>
    <col min="3332" max="3332" width="9.140625" style="171"/>
    <col min="3333" max="3333" width="10.28515625" style="171" customWidth="1"/>
    <col min="3334" max="3334" width="11.7109375" style="171" customWidth="1"/>
    <col min="3335" max="3335" width="15.85546875" style="171" customWidth="1"/>
    <col min="3336" max="3585" width="9.140625" style="171"/>
    <col min="3586" max="3586" width="17.5703125" style="171" customWidth="1"/>
    <col min="3587" max="3587" width="47.5703125" style="171" customWidth="1"/>
    <col min="3588" max="3588" width="9.140625" style="171"/>
    <col min="3589" max="3589" width="10.28515625" style="171" customWidth="1"/>
    <col min="3590" max="3590" width="11.7109375" style="171" customWidth="1"/>
    <col min="3591" max="3591" width="15.85546875" style="171" customWidth="1"/>
    <col min="3592" max="3841" width="9.140625" style="171"/>
    <col min="3842" max="3842" width="17.5703125" style="171" customWidth="1"/>
    <col min="3843" max="3843" width="47.5703125" style="171" customWidth="1"/>
    <col min="3844" max="3844" width="9.140625" style="171"/>
    <col min="3845" max="3845" width="10.28515625" style="171" customWidth="1"/>
    <col min="3846" max="3846" width="11.7109375" style="171" customWidth="1"/>
    <col min="3847" max="3847" width="15.85546875" style="171" customWidth="1"/>
    <col min="3848" max="4097" width="9.140625" style="171"/>
    <col min="4098" max="4098" width="17.5703125" style="171" customWidth="1"/>
    <col min="4099" max="4099" width="47.5703125" style="171" customWidth="1"/>
    <col min="4100" max="4100" width="9.140625" style="171"/>
    <col min="4101" max="4101" width="10.28515625" style="171" customWidth="1"/>
    <col min="4102" max="4102" width="11.7109375" style="171" customWidth="1"/>
    <col min="4103" max="4103" width="15.85546875" style="171" customWidth="1"/>
    <col min="4104" max="4353" width="9.140625" style="171"/>
    <col min="4354" max="4354" width="17.5703125" style="171" customWidth="1"/>
    <col min="4355" max="4355" width="47.5703125" style="171" customWidth="1"/>
    <col min="4356" max="4356" width="9.140625" style="171"/>
    <col min="4357" max="4357" width="10.28515625" style="171" customWidth="1"/>
    <col min="4358" max="4358" width="11.7109375" style="171" customWidth="1"/>
    <col min="4359" max="4359" width="15.85546875" style="171" customWidth="1"/>
    <col min="4360" max="4609" width="9.140625" style="171"/>
    <col min="4610" max="4610" width="17.5703125" style="171" customWidth="1"/>
    <col min="4611" max="4611" width="47.5703125" style="171" customWidth="1"/>
    <col min="4612" max="4612" width="9.140625" style="171"/>
    <col min="4613" max="4613" width="10.28515625" style="171" customWidth="1"/>
    <col min="4614" max="4614" width="11.7109375" style="171" customWidth="1"/>
    <col min="4615" max="4615" width="15.85546875" style="171" customWidth="1"/>
    <col min="4616" max="4865" width="9.140625" style="171"/>
    <col min="4866" max="4866" width="17.5703125" style="171" customWidth="1"/>
    <col min="4867" max="4867" width="47.5703125" style="171" customWidth="1"/>
    <col min="4868" max="4868" width="9.140625" style="171"/>
    <col min="4869" max="4869" width="10.28515625" style="171" customWidth="1"/>
    <col min="4870" max="4870" width="11.7109375" style="171" customWidth="1"/>
    <col min="4871" max="4871" width="15.85546875" style="171" customWidth="1"/>
    <col min="4872" max="5121" width="9.140625" style="171"/>
    <col min="5122" max="5122" width="17.5703125" style="171" customWidth="1"/>
    <col min="5123" max="5123" width="47.5703125" style="171" customWidth="1"/>
    <col min="5124" max="5124" width="9.140625" style="171"/>
    <col min="5125" max="5125" width="10.28515625" style="171" customWidth="1"/>
    <col min="5126" max="5126" width="11.7109375" style="171" customWidth="1"/>
    <col min="5127" max="5127" width="15.85546875" style="171" customWidth="1"/>
    <col min="5128" max="5377" width="9.140625" style="171"/>
    <col min="5378" max="5378" width="17.5703125" style="171" customWidth="1"/>
    <col min="5379" max="5379" width="47.5703125" style="171" customWidth="1"/>
    <col min="5380" max="5380" width="9.140625" style="171"/>
    <col min="5381" max="5381" width="10.28515625" style="171" customWidth="1"/>
    <col min="5382" max="5382" width="11.7109375" style="171" customWidth="1"/>
    <col min="5383" max="5383" width="15.85546875" style="171" customWidth="1"/>
    <col min="5384" max="5633" width="9.140625" style="171"/>
    <col min="5634" max="5634" width="17.5703125" style="171" customWidth="1"/>
    <col min="5635" max="5635" width="47.5703125" style="171" customWidth="1"/>
    <col min="5636" max="5636" width="9.140625" style="171"/>
    <col min="5637" max="5637" width="10.28515625" style="171" customWidth="1"/>
    <col min="5638" max="5638" width="11.7109375" style="171" customWidth="1"/>
    <col min="5639" max="5639" width="15.85546875" style="171" customWidth="1"/>
    <col min="5640" max="5889" width="9.140625" style="171"/>
    <col min="5890" max="5890" width="17.5703125" style="171" customWidth="1"/>
    <col min="5891" max="5891" width="47.5703125" style="171" customWidth="1"/>
    <col min="5892" max="5892" width="9.140625" style="171"/>
    <col min="5893" max="5893" width="10.28515625" style="171" customWidth="1"/>
    <col min="5894" max="5894" width="11.7109375" style="171" customWidth="1"/>
    <col min="5895" max="5895" width="15.85546875" style="171" customWidth="1"/>
    <col min="5896" max="6145" width="9.140625" style="171"/>
    <col min="6146" max="6146" width="17.5703125" style="171" customWidth="1"/>
    <col min="6147" max="6147" width="47.5703125" style="171" customWidth="1"/>
    <col min="6148" max="6148" width="9.140625" style="171"/>
    <col min="6149" max="6149" width="10.28515625" style="171" customWidth="1"/>
    <col min="6150" max="6150" width="11.7109375" style="171" customWidth="1"/>
    <col min="6151" max="6151" width="15.85546875" style="171" customWidth="1"/>
    <col min="6152" max="6401" width="9.140625" style="171"/>
    <col min="6402" max="6402" width="17.5703125" style="171" customWidth="1"/>
    <col min="6403" max="6403" width="47.5703125" style="171" customWidth="1"/>
    <col min="6404" max="6404" width="9.140625" style="171"/>
    <col min="6405" max="6405" width="10.28515625" style="171" customWidth="1"/>
    <col min="6406" max="6406" width="11.7109375" style="171" customWidth="1"/>
    <col min="6407" max="6407" width="15.85546875" style="171" customWidth="1"/>
    <col min="6408" max="6657" width="9.140625" style="171"/>
    <col min="6658" max="6658" width="17.5703125" style="171" customWidth="1"/>
    <col min="6659" max="6659" width="47.5703125" style="171" customWidth="1"/>
    <col min="6660" max="6660" width="9.140625" style="171"/>
    <col min="6661" max="6661" width="10.28515625" style="171" customWidth="1"/>
    <col min="6662" max="6662" width="11.7109375" style="171" customWidth="1"/>
    <col min="6663" max="6663" width="15.85546875" style="171" customWidth="1"/>
    <col min="6664" max="6913" width="9.140625" style="171"/>
    <col min="6914" max="6914" width="17.5703125" style="171" customWidth="1"/>
    <col min="6915" max="6915" width="47.5703125" style="171" customWidth="1"/>
    <col min="6916" max="6916" width="9.140625" style="171"/>
    <col min="6917" max="6917" width="10.28515625" style="171" customWidth="1"/>
    <col min="6918" max="6918" width="11.7109375" style="171" customWidth="1"/>
    <col min="6919" max="6919" width="15.85546875" style="171" customWidth="1"/>
    <col min="6920" max="7169" width="9.140625" style="171"/>
    <col min="7170" max="7170" width="17.5703125" style="171" customWidth="1"/>
    <col min="7171" max="7171" width="47.5703125" style="171" customWidth="1"/>
    <col min="7172" max="7172" width="9.140625" style="171"/>
    <col min="7173" max="7173" width="10.28515625" style="171" customWidth="1"/>
    <col min="7174" max="7174" width="11.7109375" style="171" customWidth="1"/>
    <col min="7175" max="7175" width="15.85546875" style="171" customWidth="1"/>
    <col min="7176" max="7425" width="9.140625" style="171"/>
    <col min="7426" max="7426" width="17.5703125" style="171" customWidth="1"/>
    <col min="7427" max="7427" width="47.5703125" style="171" customWidth="1"/>
    <col min="7428" max="7428" width="9.140625" style="171"/>
    <col min="7429" max="7429" width="10.28515625" style="171" customWidth="1"/>
    <col min="7430" max="7430" width="11.7109375" style="171" customWidth="1"/>
    <col min="7431" max="7431" width="15.85546875" style="171" customWidth="1"/>
    <col min="7432" max="7681" width="9.140625" style="171"/>
    <col min="7682" max="7682" width="17.5703125" style="171" customWidth="1"/>
    <col min="7683" max="7683" width="47.5703125" style="171" customWidth="1"/>
    <col min="7684" max="7684" width="9.140625" style="171"/>
    <col min="7685" max="7685" width="10.28515625" style="171" customWidth="1"/>
    <col min="7686" max="7686" width="11.7109375" style="171" customWidth="1"/>
    <col min="7687" max="7687" width="15.85546875" style="171" customWidth="1"/>
    <col min="7688" max="7937" width="9.140625" style="171"/>
    <col min="7938" max="7938" width="17.5703125" style="171" customWidth="1"/>
    <col min="7939" max="7939" width="47.5703125" style="171" customWidth="1"/>
    <col min="7940" max="7940" width="9.140625" style="171"/>
    <col min="7941" max="7941" width="10.28515625" style="171" customWidth="1"/>
    <col min="7942" max="7942" width="11.7109375" style="171" customWidth="1"/>
    <col min="7943" max="7943" width="15.85546875" style="171" customWidth="1"/>
    <col min="7944" max="8193" width="9.140625" style="171"/>
    <col min="8194" max="8194" width="17.5703125" style="171" customWidth="1"/>
    <col min="8195" max="8195" width="47.5703125" style="171" customWidth="1"/>
    <col min="8196" max="8196" width="9.140625" style="171"/>
    <col min="8197" max="8197" width="10.28515625" style="171" customWidth="1"/>
    <col min="8198" max="8198" width="11.7109375" style="171" customWidth="1"/>
    <col min="8199" max="8199" width="15.85546875" style="171" customWidth="1"/>
    <col min="8200" max="8449" width="9.140625" style="171"/>
    <col min="8450" max="8450" width="17.5703125" style="171" customWidth="1"/>
    <col min="8451" max="8451" width="47.5703125" style="171" customWidth="1"/>
    <col min="8452" max="8452" width="9.140625" style="171"/>
    <col min="8453" max="8453" width="10.28515625" style="171" customWidth="1"/>
    <col min="8454" max="8454" width="11.7109375" style="171" customWidth="1"/>
    <col min="8455" max="8455" width="15.85546875" style="171" customWidth="1"/>
    <col min="8456" max="8705" width="9.140625" style="171"/>
    <col min="8706" max="8706" width="17.5703125" style="171" customWidth="1"/>
    <col min="8707" max="8707" width="47.5703125" style="171" customWidth="1"/>
    <col min="8708" max="8708" width="9.140625" style="171"/>
    <col min="8709" max="8709" width="10.28515625" style="171" customWidth="1"/>
    <col min="8710" max="8710" width="11.7109375" style="171" customWidth="1"/>
    <col min="8711" max="8711" width="15.85546875" style="171" customWidth="1"/>
    <col min="8712" max="8961" width="9.140625" style="171"/>
    <col min="8962" max="8962" width="17.5703125" style="171" customWidth="1"/>
    <col min="8963" max="8963" width="47.5703125" style="171" customWidth="1"/>
    <col min="8964" max="8964" width="9.140625" style="171"/>
    <col min="8965" max="8965" width="10.28515625" style="171" customWidth="1"/>
    <col min="8966" max="8966" width="11.7109375" style="171" customWidth="1"/>
    <col min="8967" max="8967" width="15.85546875" style="171" customWidth="1"/>
    <col min="8968" max="9217" width="9.140625" style="171"/>
    <col min="9218" max="9218" width="17.5703125" style="171" customWidth="1"/>
    <col min="9219" max="9219" width="47.5703125" style="171" customWidth="1"/>
    <col min="9220" max="9220" width="9.140625" style="171"/>
    <col min="9221" max="9221" width="10.28515625" style="171" customWidth="1"/>
    <col min="9222" max="9222" width="11.7109375" style="171" customWidth="1"/>
    <col min="9223" max="9223" width="15.85546875" style="171" customWidth="1"/>
    <col min="9224" max="9473" width="9.140625" style="171"/>
    <col min="9474" max="9474" width="17.5703125" style="171" customWidth="1"/>
    <col min="9475" max="9475" width="47.5703125" style="171" customWidth="1"/>
    <col min="9476" max="9476" width="9.140625" style="171"/>
    <col min="9477" max="9477" width="10.28515625" style="171" customWidth="1"/>
    <col min="9478" max="9478" width="11.7109375" style="171" customWidth="1"/>
    <col min="9479" max="9479" width="15.85546875" style="171" customWidth="1"/>
    <col min="9480" max="9729" width="9.140625" style="171"/>
    <col min="9730" max="9730" width="17.5703125" style="171" customWidth="1"/>
    <col min="9731" max="9731" width="47.5703125" style="171" customWidth="1"/>
    <col min="9732" max="9732" width="9.140625" style="171"/>
    <col min="9733" max="9733" width="10.28515625" style="171" customWidth="1"/>
    <col min="9734" max="9734" width="11.7109375" style="171" customWidth="1"/>
    <col min="9735" max="9735" width="15.85546875" style="171" customWidth="1"/>
    <col min="9736" max="9985" width="9.140625" style="171"/>
    <col min="9986" max="9986" width="17.5703125" style="171" customWidth="1"/>
    <col min="9987" max="9987" width="47.5703125" style="171" customWidth="1"/>
    <col min="9988" max="9988" width="9.140625" style="171"/>
    <col min="9989" max="9989" width="10.28515625" style="171" customWidth="1"/>
    <col min="9990" max="9990" width="11.7109375" style="171" customWidth="1"/>
    <col min="9991" max="9991" width="15.85546875" style="171" customWidth="1"/>
    <col min="9992" max="10241" width="9.140625" style="171"/>
    <col min="10242" max="10242" width="17.5703125" style="171" customWidth="1"/>
    <col min="10243" max="10243" width="47.5703125" style="171" customWidth="1"/>
    <col min="10244" max="10244" width="9.140625" style="171"/>
    <col min="10245" max="10245" width="10.28515625" style="171" customWidth="1"/>
    <col min="10246" max="10246" width="11.7109375" style="171" customWidth="1"/>
    <col min="10247" max="10247" width="15.85546875" style="171" customWidth="1"/>
    <col min="10248" max="10497" width="9.140625" style="171"/>
    <col min="10498" max="10498" width="17.5703125" style="171" customWidth="1"/>
    <col min="10499" max="10499" width="47.5703125" style="171" customWidth="1"/>
    <col min="10500" max="10500" width="9.140625" style="171"/>
    <col min="10501" max="10501" width="10.28515625" style="171" customWidth="1"/>
    <col min="10502" max="10502" width="11.7109375" style="171" customWidth="1"/>
    <col min="10503" max="10503" width="15.85546875" style="171" customWidth="1"/>
    <col min="10504" max="10753" width="9.140625" style="171"/>
    <col min="10754" max="10754" width="17.5703125" style="171" customWidth="1"/>
    <col min="10755" max="10755" width="47.5703125" style="171" customWidth="1"/>
    <col min="10756" max="10756" width="9.140625" style="171"/>
    <col min="10757" max="10757" width="10.28515625" style="171" customWidth="1"/>
    <col min="10758" max="10758" width="11.7109375" style="171" customWidth="1"/>
    <col min="10759" max="10759" width="15.85546875" style="171" customWidth="1"/>
    <col min="10760" max="11009" width="9.140625" style="171"/>
    <col min="11010" max="11010" width="17.5703125" style="171" customWidth="1"/>
    <col min="11011" max="11011" width="47.5703125" style="171" customWidth="1"/>
    <col min="11012" max="11012" width="9.140625" style="171"/>
    <col min="11013" max="11013" width="10.28515625" style="171" customWidth="1"/>
    <col min="11014" max="11014" width="11.7109375" style="171" customWidth="1"/>
    <col min="11015" max="11015" width="15.85546875" style="171" customWidth="1"/>
    <col min="11016" max="11265" width="9.140625" style="171"/>
    <col min="11266" max="11266" width="17.5703125" style="171" customWidth="1"/>
    <col min="11267" max="11267" width="47.5703125" style="171" customWidth="1"/>
    <col min="11268" max="11268" width="9.140625" style="171"/>
    <col min="11269" max="11269" width="10.28515625" style="171" customWidth="1"/>
    <col min="11270" max="11270" width="11.7109375" style="171" customWidth="1"/>
    <col min="11271" max="11271" width="15.85546875" style="171" customWidth="1"/>
    <col min="11272" max="11521" width="9.140625" style="171"/>
    <col min="11522" max="11522" width="17.5703125" style="171" customWidth="1"/>
    <col min="11523" max="11523" width="47.5703125" style="171" customWidth="1"/>
    <col min="11524" max="11524" width="9.140625" style="171"/>
    <col min="11525" max="11525" width="10.28515625" style="171" customWidth="1"/>
    <col min="11526" max="11526" width="11.7109375" style="171" customWidth="1"/>
    <col min="11527" max="11527" width="15.85546875" style="171" customWidth="1"/>
    <col min="11528" max="11777" width="9.140625" style="171"/>
    <col min="11778" max="11778" width="17.5703125" style="171" customWidth="1"/>
    <col min="11779" max="11779" width="47.5703125" style="171" customWidth="1"/>
    <col min="11780" max="11780" width="9.140625" style="171"/>
    <col min="11781" max="11781" width="10.28515625" style="171" customWidth="1"/>
    <col min="11782" max="11782" width="11.7109375" style="171" customWidth="1"/>
    <col min="11783" max="11783" width="15.85546875" style="171" customWidth="1"/>
    <col min="11784" max="12033" width="9.140625" style="171"/>
    <col min="12034" max="12034" width="17.5703125" style="171" customWidth="1"/>
    <col min="12035" max="12035" width="47.5703125" style="171" customWidth="1"/>
    <col min="12036" max="12036" width="9.140625" style="171"/>
    <col min="12037" max="12037" width="10.28515625" style="171" customWidth="1"/>
    <col min="12038" max="12038" width="11.7109375" style="171" customWidth="1"/>
    <col min="12039" max="12039" width="15.85546875" style="171" customWidth="1"/>
    <col min="12040" max="12289" width="9.140625" style="171"/>
    <col min="12290" max="12290" width="17.5703125" style="171" customWidth="1"/>
    <col min="12291" max="12291" width="47.5703125" style="171" customWidth="1"/>
    <col min="12292" max="12292" width="9.140625" style="171"/>
    <col min="12293" max="12293" width="10.28515625" style="171" customWidth="1"/>
    <col min="12294" max="12294" width="11.7109375" style="171" customWidth="1"/>
    <col min="12295" max="12295" width="15.85546875" style="171" customWidth="1"/>
    <col min="12296" max="12545" width="9.140625" style="171"/>
    <col min="12546" max="12546" width="17.5703125" style="171" customWidth="1"/>
    <col min="12547" max="12547" width="47.5703125" style="171" customWidth="1"/>
    <col min="12548" max="12548" width="9.140625" style="171"/>
    <col min="12549" max="12549" width="10.28515625" style="171" customWidth="1"/>
    <col min="12550" max="12550" width="11.7109375" style="171" customWidth="1"/>
    <col min="12551" max="12551" width="15.85546875" style="171" customWidth="1"/>
    <col min="12552" max="12801" width="9.140625" style="171"/>
    <col min="12802" max="12802" width="17.5703125" style="171" customWidth="1"/>
    <col min="12803" max="12803" width="47.5703125" style="171" customWidth="1"/>
    <col min="12804" max="12804" width="9.140625" style="171"/>
    <col min="12805" max="12805" width="10.28515625" style="171" customWidth="1"/>
    <col min="12806" max="12806" width="11.7109375" style="171" customWidth="1"/>
    <col min="12807" max="12807" width="15.85546875" style="171" customWidth="1"/>
    <col min="12808" max="13057" width="9.140625" style="171"/>
    <col min="13058" max="13058" width="17.5703125" style="171" customWidth="1"/>
    <col min="13059" max="13059" width="47.5703125" style="171" customWidth="1"/>
    <col min="13060" max="13060" width="9.140625" style="171"/>
    <col min="13061" max="13061" width="10.28515625" style="171" customWidth="1"/>
    <col min="13062" max="13062" width="11.7109375" style="171" customWidth="1"/>
    <col min="13063" max="13063" width="15.85546875" style="171" customWidth="1"/>
    <col min="13064" max="13313" width="9.140625" style="171"/>
    <col min="13314" max="13314" width="17.5703125" style="171" customWidth="1"/>
    <col min="13315" max="13315" width="47.5703125" style="171" customWidth="1"/>
    <col min="13316" max="13316" width="9.140625" style="171"/>
    <col min="13317" max="13317" width="10.28515625" style="171" customWidth="1"/>
    <col min="13318" max="13318" width="11.7109375" style="171" customWidth="1"/>
    <col min="13319" max="13319" width="15.85546875" style="171" customWidth="1"/>
    <col min="13320" max="13569" width="9.140625" style="171"/>
    <col min="13570" max="13570" width="17.5703125" style="171" customWidth="1"/>
    <col min="13571" max="13571" width="47.5703125" style="171" customWidth="1"/>
    <col min="13572" max="13572" width="9.140625" style="171"/>
    <col min="13573" max="13573" width="10.28515625" style="171" customWidth="1"/>
    <col min="13574" max="13574" width="11.7109375" style="171" customWidth="1"/>
    <col min="13575" max="13575" width="15.85546875" style="171" customWidth="1"/>
    <col min="13576" max="13825" width="9.140625" style="171"/>
    <col min="13826" max="13826" width="17.5703125" style="171" customWidth="1"/>
    <col min="13827" max="13827" width="47.5703125" style="171" customWidth="1"/>
    <col min="13828" max="13828" width="9.140625" style="171"/>
    <col min="13829" max="13829" width="10.28515625" style="171" customWidth="1"/>
    <col min="13830" max="13830" width="11.7109375" style="171" customWidth="1"/>
    <col min="13831" max="13831" width="15.85546875" style="171" customWidth="1"/>
    <col min="13832" max="14081" width="9.140625" style="171"/>
    <col min="14082" max="14082" width="17.5703125" style="171" customWidth="1"/>
    <col min="14083" max="14083" width="47.5703125" style="171" customWidth="1"/>
    <col min="14084" max="14084" width="9.140625" style="171"/>
    <col min="14085" max="14085" width="10.28515625" style="171" customWidth="1"/>
    <col min="14086" max="14086" width="11.7109375" style="171" customWidth="1"/>
    <col min="14087" max="14087" width="15.85546875" style="171" customWidth="1"/>
    <col min="14088" max="14337" width="9.140625" style="171"/>
    <col min="14338" max="14338" width="17.5703125" style="171" customWidth="1"/>
    <col min="14339" max="14339" width="47.5703125" style="171" customWidth="1"/>
    <col min="14340" max="14340" width="9.140625" style="171"/>
    <col min="14341" max="14341" width="10.28515625" style="171" customWidth="1"/>
    <col min="14342" max="14342" width="11.7109375" style="171" customWidth="1"/>
    <col min="14343" max="14343" width="15.85546875" style="171" customWidth="1"/>
    <col min="14344" max="14593" width="9.140625" style="171"/>
    <col min="14594" max="14594" width="17.5703125" style="171" customWidth="1"/>
    <col min="14595" max="14595" width="47.5703125" style="171" customWidth="1"/>
    <col min="14596" max="14596" width="9.140625" style="171"/>
    <col min="14597" max="14597" width="10.28515625" style="171" customWidth="1"/>
    <col min="14598" max="14598" width="11.7109375" style="171" customWidth="1"/>
    <col min="14599" max="14599" width="15.85546875" style="171" customWidth="1"/>
    <col min="14600" max="14849" width="9.140625" style="171"/>
    <col min="14850" max="14850" width="17.5703125" style="171" customWidth="1"/>
    <col min="14851" max="14851" width="47.5703125" style="171" customWidth="1"/>
    <col min="14852" max="14852" width="9.140625" style="171"/>
    <col min="14853" max="14853" width="10.28515625" style="171" customWidth="1"/>
    <col min="14854" max="14854" width="11.7109375" style="171" customWidth="1"/>
    <col min="14855" max="14855" width="15.85546875" style="171" customWidth="1"/>
    <col min="14856" max="15105" width="9.140625" style="171"/>
    <col min="15106" max="15106" width="17.5703125" style="171" customWidth="1"/>
    <col min="15107" max="15107" width="47.5703125" style="171" customWidth="1"/>
    <col min="15108" max="15108" width="9.140625" style="171"/>
    <col min="15109" max="15109" width="10.28515625" style="171" customWidth="1"/>
    <col min="15110" max="15110" width="11.7109375" style="171" customWidth="1"/>
    <col min="15111" max="15111" width="15.85546875" style="171" customWidth="1"/>
    <col min="15112" max="15361" width="9.140625" style="171"/>
    <col min="15362" max="15362" width="17.5703125" style="171" customWidth="1"/>
    <col min="15363" max="15363" width="47.5703125" style="171" customWidth="1"/>
    <col min="15364" max="15364" width="9.140625" style="171"/>
    <col min="15365" max="15365" width="10.28515625" style="171" customWidth="1"/>
    <col min="15366" max="15366" width="11.7109375" style="171" customWidth="1"/>
    <col min="15367" max="15367" width="15.85546875" style="171" customWidth="1"/>
    <col min="15368" max="15617" width="9.140625" style="171"/>
    <col min="15618" max="15618" width="17.5703125" style="171" customWidth="1"/>
    <col min="15619" max="15619" width="47.5703125" style="171" customWidth="1"/>
    <col min="15620" max="15620" width="9.140625" style="171"/>
    <col min="15621" max="15621" width="10.28515625" style="171" customWidth="1"/>
    <col min="15622" max="15622" width="11.7109375" style="171" customWidth="1"/>
    <col min="15623" max="15623" width="15.85546875" style="171" customWidth="1"/>
    <col min="15624" max="15873" width="9.140625" style="171"/>
    <col min="15874" max="15874" width="17.5703125" style="171" customWidth="1"/>
    <col min="15875" max="15875" width="47.5703125" style="171" customWidth="1"/>
    <col min="15876" max="15876" width="9.140625" style="171"/>
    <col min="15877" max="15877" width="10.28515625" style="171" customWidth="1"/>
    <col min="15878" max="15878" width="11.7109375" style="171" customWidth="1"/>
    <col min="15879" max="15879" width="15.85546875" style="171" customWidth="1"/>
    <col min="15880" max="16129" width="9.140625" style="171"/>
    <col min="16130" max="16130" width="17.5703125" style="171" customWidth="1"/>
    <col min="16131" max="16131" width="47.5703125" style="171" customWidth="1"/>
    <col min="16132" max="16132" width="9.140625" style="171"/>
    <col min="16133" max="16133" width="10.28515625" style="171" customWidth="1"/>
    <col min="16134" max="16134" width="11.7109375" style="171" customWidth="1"/>
    <col min="16135" max="16135" width="15.85546875" style="171" customWidth="1"/>
    <col min="16136" max="16384" width="9.140625" style="171"/>
  </cols>
  <sheetData>
    <row r="1" spans="1:23" s="5" customFormat="1" x14ac:dyDescent="0.2"/>
    <row r="2" spans="1:23" s="5" customFormat="1" ht="15" x14ac:dyDescent="0.2">
      <c r="A2" s="352" t="s">
        <v>124</v>
      </c>
      <c r="B2" s="353"/>
      <c r="C2" s="353"/>
      <c r="D2" s="353"/>
      <c r="E2" s="353"/>
      <c r="F2" s="353"/>
      <c r="G2" s="353"/>
      <c r="H2" s="353"/>
      <c r="I2" s="354"/>
    </row>
    <row r="3" spans="1:23" s="5" customFormat="1" x14ac:dyDescent="0.2"/>
    <row r="4" spans="1:23" s="5" customFormat="1" ht="12.75" customHeight="1" x14ac:dyDescent="0.2">
      <c r="A4" s="195" t="str">
        <f>Orçamento!A3</f>
        <v>OBRA: AMPLIAÇÃO DA ESCOLA MUNICIPAL EPAMINONDAS MENDONÇA - ITEM 01</v>
      </c>
      <c r="B4" s="140"/>
      <c r="C4" s="140"/>
      <c r="D4" s="140"/>
      <c r="E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s="5" customFormat="1" ht="12.75" x14ac:dyDescent="0.2">
      <c r="A5" s="195" t="e">
        <f>#REF!</f>
        <v>#REF!</v>
      </c>
      <c r="B5" s="142"/>
      <c r="C5" s="142"/>
      <c r="D5" s="142"/>
      <c r="E5" s="142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</row>
    <row r="6" spans="1:23" s="5" customFormat="1" ht="12.75" x14ac:dyDescent="0.2">
      <c r="A6" s="196" t="e">
        <f>#REF!</f>
        <v>#REF!</v>
      </c>
      <c r="B6" s="142"/>
      <c r="C6" s="142"/>
      <c r="D6" s="142"/>
      <c r="E6" s="142"/>
      <c r="L6" s="144" t="s">
        <v>125</v>
      </c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</row>
    <row r="7" spans="1:23" s="5" customFormat="1" x14ac:dyDescent="0.2"/>
    <row r="8" spans="1:23" s="5" customFormat="1" x14ac:dyDescent="0.2">
      <c r="A8" s="344" t="s">
        <v>223</v>
      </c>
      <c r="B8" s="345"/>
      <c r="C8" s="345"/>
      <c r="D8" s="345"/>
      <c r="E8" s="345"/>
      <c r="F8" s="345"/>
      <c r="G8" s="345"/>
      <c r="H8" s="345"/>
      <c r="I8" s="346"/>
    </row>
    <row r="9" spans="1:23" s="5" customFormat="1" ht="13.5" customHeight="1" x14ac:dyDescent="0.2">
      <c r="A9" s="347"/>
      <c r="B9" s="348"/>
      <c r="C9" s="348"/>
      <c r="D9" s="348"/>
      <c r="E9" s="348"/>
      <c r="F9" s="348"/>
      <c r="G9" s="348"/>
      <c r="H9" s="348"/>
      <c r="I9" s="349"/>
    </row>
    <row r="10" spans="1:23" s="5" customFormat="1" ht="10.15" customHeight="1" x14ac:dyDescent="0.2">
      <c r="A10" s="350" t="s">
        <v>143</v>
      </c>
      <c r="B10" s="350"/>
      <c r="C10" s="145" t="s">
        <v>126</v>
      </c>
      <c r="D10" s="336"/>
      <c r="E10" s="336"/>
      <c r="F10" s="336"/>
      <c r="G10" s="336"/>
      <c r="H10" s="336"/>
      <c r="I10" s="336"/>
    </row>
    <row r="11" spans="1:23" s="5" customFormat="1" ht="11.25" customHeight="1" x14ac:dyDescent="0.2">
      <c r="A11" s="351"/>
      <c r="B11" s="351"/>
      <c r="C11" s="338" t="s">
        <v>127</v>
      </c>
      <c r="D11" s="339" t="s">
        <v>223</v>
      </c>
      <c r="E11" s="339"/>
      <c r="F11" s="339"/>
      <c r="G11" s="339"/>
      <c r="H11" s="339"/>
      <c r="I11" s="339"/>
    </row>
    <row r="12" spans="1:23" s="5" customFormat="1" ht="11.25" customHeight="1" x14ac:dyDescent="0.2">
      <c r="A12" s="351"/>
      <c r="B12" s="351"/>
      <c r="C12" s="338"/>
      <c r="D12" s="339"/>
      <c r="E12" s="339"/>
      <c r="F12" s="339"/>
      <c r="G12" s="339"/>
      <c r="H12" s="339"/>
      <c r="I12" s="339"/>
    </row>
    <row r="13" spans="1:23" s="5" customFormat="1" ht="11.25" customHeight="1" x14ac:dyDescent="0.2">
      <c r="A13" s="351"/>
      <c r="B13" s="351"/>
      <c r="C13" s="338"/>
      <c r="D13" s="339"/>
      <c r="E13" s="340"/>
      <c r="F13" s="340"/>
      <c r="G13" s="340"/>
      <c r="H13" s="340"/>
      <c r="I13" s="340"/>
    </row>
    <row r="14" spans="1:23" s="5" customFormat="1" ht="10.15" customHeight="1" x14ac:dyDescent="0.2">
      <c r="A14" s="351"/>
      <c r="B14" s="351"/>
      <c r="C14" s="146" t="s">
        <v>128</v>
      </c>
      <c r="D14" s="147" t="s">
        <v>101</v>
      </c>
      <c r="E14" s="355" t="s">
        <v>129</v>
      </c>
      <c r="F14" s="342">
        <f>G20</f>
        <v>8224.27</v>
      </c>
      <c r="G14" s="342"/>
      <c r="H14" s="343">
        <f>I20</f>
        <v>9471.33</v>
      </c>
      <c r="I14" s="343"/>
    </row>
    <row r="15" spans="1:23" s="5" customFormat="1" ht="14.45" customHeight="1" x14ac:dyDescent="0.2">
      <c r="A15" s="351"/>
      <c r="B15" s="351"/>
      <c r="C15" s="146" t="s">
        <v>130</v>
      </c>
      <c r="D15" s="147">
        <v>1</v>
      </c>
      <c r="E15" s="356"/>
      <c r="F15" s="342"/>
      <c r="G15" s="342"/>
      <c r="H15" s="343"/>
      <c r="I15" s="343"/>
      <c r="L15" s="148"/>
      <c r="M15" s="148"/>
    </row>
    <row r="16" spans="1:23" s="5" customFormat="1" x14ac:dyDescent="0.2">
      <c r="A16" s="2"/>
      <c r="B16" s="2"/>
      <c r="C16" s="3"/>
      <c r="D16" s="4"/>
      <c r="E16" s="86"/>
      <c r="F16" s="330" t="s">
        <v>131</v>
      </c>
      <c r="G16" s="330"/>
      <c r="H16" s="331" t="s">
        <v>132</v>
      </c>
      <c r="I16" s="331"/>
    </row>
    <row r="17" spans="1:13" s="156" customFormat="1" ht="24" x14ac:dyDescent="0.25">
      <c r="A17" s="149" t="s">
        <v>133</v>
      </c>
      <c r="B17" s="149" t="s">
        <v>134</v>
      </c>
      <c r="C17" s="150" t="s">
        <v>99</v>
      </c>
      <c r="D17" s="151" t="s">
        <v>128</v>
      </c>
      <c r="E17" s="152" t="s">
        <v>135</v>
      </c>
      <c r="F17" s="153" t="s">
        <v>136</v>
      </c>
      <c r="G17" s="154" t="s">
        <v>137</v>
      </c>
      <c r="H17" s="155" t="s">
        <v>136</v>
      </c>
      <c r="I17" s="154" t="s">
        <v>137</v>
      </c>
    </row>
    <row r="18" spans="1:13" s="5" customFormat="1" x14ac:dyDescent="0.2">
      <c r="A18" s="157" t="s">
        <v>56</v>
      </c>
      <c r="B18" s="157" t="s">
        <v>224</v>
      </c>
      <c r="C18" s="158" t="s">
        <v>226</v>
      </c>
      <c r="D18" s="159" t="s">
        <v>227</v>
      </c>
      <c r="E18" s="160">
        <f>(1/5)*4</f>
        <v>0.8</v>
      </c>
      <c r="F18" s="161" t="s">
        <v>390</v>
      </c>
      <c r="G18" s="162">
        <f>TRUNC($E18*F18,2)</f>
        <v>4409.6000000000004</v>
      </c>
      <c r="H18" s="163" t="s">
        <v>391</v>
      </c>
      <c r="I18" s="164">
        <f>TRUNC($E18*H18,2)</f>
        <v>5054.74</v>
      </c>
      <c r="J18" s="5">
        <f>1300000</f>
        <v>1300000</v>
      </c>
      <c r="K18" s="5">
        <f>J18*0.03</f>
        <v>39000</v>
      </c>
      <c r="L18" s="148"/>
      <c r="M18" s="148"/>
    </row>
    <row r="19" spans="1:13" s="5" customFormat="1" ht="24" x14ac:dyDescent="0.2">
      <c r="A19" s="157" t="s">
        <v>56</v>
      </c>
      <c r="B19" s="165" t="s">
        <v>225</v>
      </c>
      <c r="C19" s="158" t="s">
        <v>228</v>
      </c>
      <c r="D19" s="159" t="s">
        <v>227</v>
      </c>
      <c r="E19" s="160">
        <f>(0.25/5)*4</f>
        <v>0.2</v>
      </c>
      <c r="F19" s="161" t="s">
        <v>441</v>
      </c>
      <c r="G19" s="162">
        <f>TRUNC($E19*F19,2)</f>
        <v>3814.67</v>
      </c>
      <c r="H19" s="163" t="s">
        <v>442</v>
      </c>
      <c r="I19" s="164">
        <f>TRUNC($E19*H19,2)</f>
        <v>4416.59</v>
      </c>
      <c r="J19" s="166">
        <v>510000</v>
      </c>
      <c r="K19" s="268">
        <f>J20/J19</f>
        <v>0.02</v>
      </c>
      <c r="L19" s="148"/>
      <c r="M19" s="148"/>
    </row>
    <row r="20" spans="1:13" s="5" customFormat="1" ht="14.45" customHeight="1" x14ac:dyDescent="0.2">
      <c r="A20" s="167"/>
      <c r="B20" s="167"/>
      <c r="C20" s="167"/>
      <c r="D20" s="167"/>
      <c r="E20" s="167"/>
      <c r="F20" s="168" t="s">
        <v>140</v>
      </c>
      <c r="G20" s="168">
        <f>TRUNC(SUM(G18:G19),2)</f>
        <v>8224.27</v>
      </c>
      <c r="H20" s="168" t="s">
        <v>140</v>
      </c>
      <c r="I20" s="168">
        <f>TRUNC(SUM(I18:I19),2)</f>
        <v>9471.33</v>
      </c>
      <c r="J20" s="169">
        <f>J19*0.02</f>
        <v>10200</v>
      </c>
      <c r="L20" s="148"/>
      <c r="M20" s="148"/>
    </row>
    <row r="21" spans="1:13" x14ac:dyDescent="0.2">
      <c r="A21" s="176"/>
      <c r="B21" s="176"/>
      <c r="C21" s="176"/>
      <c r="D21" s="176"/>
      <c r="E21" s="176"/>
      <c r="F21" s="177"/>
      <c r="G21" s="177"/>
      <c r="H21" s="177"/>
      <c r="I21" s="177"/>
    </row>
    <row r="22" spans="1:13" s="5" customFormat="1" ht="15.75" customHeight="1" x14ac:dyDescent="0.2">
      <c r="A22" s="344" t="s">
        <v>238</v>
      </c>
      <c r="B22" s="345"/>
      <c r="C22" s="345"/>
      <c r="D22" s="345"/>
      <c r="E22" s="345"/>
      <c r="F22" s="345"/>
      <c r="G22" s="345"/>
      <c r="H22" s="345"/>
      <c r="I22" s="346"/>
    </row>
    <row r="23" spans="1:13" s="5" customFormat="1" ht="13.5" customHeight="1" x14ac:dyDescent="0.2">
      <c r="A23" s="347"/>
      <c r="B23" s="348"/>
      <c r="C23" s="348"/>
      <c r="D23" s="348"/>
      <c r="E23" s="348"/>
      <c r="F23" s="348"/>
      <c r="G23" s="348"/>
      <c r="H23" s="348"/>
      <c r="I23" s="349"/>
    </row>
    <row r="24" spans="1:13" s="5" customFormat="1" ht="10.15" customHeight="1" x14ac:dyDescent="0.2">
      <c r="A24" s="350" t="s">
        <v>147</v>
      </c>
      <c r="B24" s="350"/>
      <c r="C24" s="145" t="s">
        <v>126</v>
      </c>
      <c r="D24" s="336" t="s">
        <v>189</v>
      </c>
      <c r="E24" s="336"/>
      <c r="F24" s="336"/>
      <c r="G24" s="336"/>
      <c r="H24" s="336"/>
      <c r="I24" s="336"/>
    </row>
    <row r="25" spans="1:13" s="5" customFormat="1" ht="11.25" customHeight="1" x14ac:dyDescent="0.2">
      <c r="A25" s="351"/>
      <c r="B25" s="351"/>
      <c r="C25" s="338" t="s">
        <v>127</v>
      </c>
      <c r="D25" s="339" t="s">
        <v>188</v>
      </c>
      <c r="E25" s="339"/>
      <c r="F25" s="339"/>
      <c r="G25" s="339"/>
      <c r="H25" s="339"/>
      <c r="I25" s="339"/>
    </row>
    <row r="26" spans="1:13" s="5" customFormat="1" ht="11.25" customHeight="1" x14ac:dyDescent="0.2">
      <c r="A26" s="351"/>
      <c r="B26" s="351"/>
      <c r="C26" s="338"/>
      <c r="D26" s="339"/>
      <c r="E26" s="339"/>
      <c r="F26" s="339"/>
      <c r="G26" s="339"/>
      <c r="H26" s="339"/>
      <c r="I26" s="339"/>
    </row>
    <row r="27" spans="1:13" s="5" customFormat="1" ht="11.25" customHeight="1" x14ac:dyDescent="0.2">
      <c r="A27" s="351"/>
      <c r="B27" s="351"/>
      <c r="C27" s="338"/>
      <c r="D27" s="339"/>
      <c r="E27" s="340"/>
      <c r="F27" s="340"/>
      <c r="G27" s="340"/>
      <c r="H27" s="340"/>
      <c r="I27" s="340"/>
    </row>
    <row r="28" spans="1:13" s="5" customFormat="1" ht="10.15" customHeight="1" x14ac:dyDescent="0.2">
      <c r="A28" s="351"/>
      <c r="B28" s="351"/>
      <c r="C28" s="146" t="s">
        <v>128</v>
      </c>
      <c r="D28" s="147" t="s">
        <v>103</v>
      </c>
      <c r="E28" s="355" t="s">
        <v>129</v>
      </c>
      <c r="F28" s="342">
        <f>G39</f>
        <v>139.03</v>
      </c>
      <c r="G28" s="342"/>
      <c r="H28" s="343">
        <f>I39</f>
        <v>150.63999999999999</v>
      </c>
      <c r="I28" s="343"/>
    </row>
    <row r="29" spans="1:13" s="5" customFormat="1" ht="14.45" customHeight="1" x14ac:dyDescent="0.2">
      <c r="A29" s="351"/>
      <c r="B29" s="351"/>
      <c r="C29" s="146" t="s">
        <v>130</v>
      </c>
      <c r="D29" s="147">
        <v>1</v>
      </c>
      <c r="E29" s="356"/>
      <c r="F29" s="342"/>
      <c r="G29" s="342"/>
      <c r="H29" s="343"/>
      <c r="I29" s="343"/>
      <c r="L29" s="148"/>
      <c r="M29" s="148"/>
    </row>
    <row r="30" spans="1:13" s="5" customFormat="1" x14ac:dyDescent="0.2">
      <c r="A30" s="2"/>
      <c r="B30" s="2"/>
      <c r="C30" s="3"/>
      <c r="D30" s="4"/>
      <c r="E30" s="86"/>
      <c r="F30" s="330" t="s">
        <v>131</v>
      </c>
      <c r="G30" s="330"/>
      <c r="H30" s="331" t="s">
        <v>132</v>
      </c>
      <c r="I30" s="331"/>
    </row>
    <row r="31" spans="1:13" s="156" customFormat="1" ht="24" x14ac:dyDescent="0.25">
      <c r="A31" s="149" t="s">
        <v>133</v>
      </c>
      <c r="B31" s="149" t="s">
        <v>134</v>
      </c>
      <c r="C31" s="150" t="s">
        <v>99</v>
      </c>
      <c r="D31" s="151" t="s">
        <v>128</v>
      </c>
      <c r="E31" s="152" t="s">
        <v>135</v>
      </c>
      <c r="F31" s="153" t="s">
        <v>136</v>
      </c>
      <c r="G31" s="154" t="s">
        <v>137</v>
      </c>
      <c r="H31" s="155" t="s">
        <v>136</v>
      </c>
      <c r="I31" s="154" t="s">
        <v>137</v>
      </c>
    </row>
    <row r="32" spans="1:13" s="5" customFormat="1" ht="24" x14ac:dyDescent="0.2">
      <c r="A32" s="199" t="s">
        <v>139</v>
      </c>
      <c r="B32" s="200" t="s">
        <v>149</v>
      </c>
      <c r="C32" s="158" t="s">
        <v>150</v>
      </c>
      <c r="D32" s="159" t="s">
        <v>100</v>
      </c>
      <c r="E32" s="201">
        <v>2.2000000000000002</v>
      </c>
      <c r="F32" s="161">
        <v>6.65</v>
      </c>
      <c r="G32" s="202">
        <f t="shared" ref="G32:G38" si="0">TRUNC($E32*F32,2)</f>
        <v>14.63</v>
      </c>
      <c r="H32" s="186">
        <v>7.48</v>
      </c>
      <c r="I32" s="164">
        <f t="shared" ref="I32:I38" si="1">TRUNC($E32*H32,2)</f>
        <v>16.45</v>
      </c>
      <c r="L32" s="148"/>
      <c r="M32" s="148"/>
    </row>
    <row r="33" spans="1:13" s="5" customFormat="1" ht="24" x14ac:dyDescent="0.2">
      <c r="A33" s="199" t="s">
        <v>139</v>
      </c>
      <c r="B33" s="200" t="s">
        <v>151</v>
      </c>
      <c r="C33" s="158" t="s">
        <v>152</v>
      </c>
      <c r="D33" s="159" t="s">
        <v>103</v>
      </c>
      <c r="E33" s="201">
        <v>1</v>
      </c>
      <c r="F33" s="184">
        <v>4.4000000000000004</v>
      </c>
      <c r="G33" s="310">
        <f t="shared" si="0"/>
        <v>4.4000000000000004</v>
      </c>
      <c r="H33" s="203">
        <v>4.95</v>
      </c>
      <c r="I33" s="164">
        <f t="shared" si="1"/>
        <v>4.95</v>
      </c>
      <c r="L33" s="148"/>
      <c r="M33" s="148"/>
    </row>
    <row r="34" spans="1:13" s="5" customFormat="1" ht="36" x14ac:dyDescent="0.2">
      <c r="A34" s="199" t="s">
        <v>139</v>
      </c>
      <c r="B34" s="200" t="s">
        <v>153</v>
      </c>
      <c r="C34" s="158" t="s">
        <v>154</v>
      </c>
      <c r="D34" s="159" t="s">
        <v>100</v>
      </c>
      <c r="E34" s="201">
        <v>2.2000000000000002</v>
      </c>
      <c r="F34" s="161">
        <v>12.72</v>
      </c>
      <c r="G34" s="202">
        <f t="shared" si="0"/>
        <v>27.98</v>
      </c>
      <c r="H34" s="203">
        <v>14.02</v>
      </c>
      <c r="I34" s="164">
        <f t="shared" si="1"/>
        <v>30.84</v>
      </c>
      <c r="L34" s="148"/>
      <c r="M34" s="148"/>
    </row>
    <row r="35" spans="1:13" s="5" customFormat="1" ht="36" x14ac:dyDescent="0.2">
      <c r="A35" s="199" t="s">
        <v>139</v>
      </c>
      <c r="B35" s="200" t="s">
        <v>191</v>
      </c>
      <c r="C35" s="158" t="s">
        <v>192</v>
      </c>
      <c r="D35" s="159" t="s">
        <v>100</v>
      </c>
      <c r="E35" s="201">
        <v>2.2000000000000002</v>
      </c>
      <c r="F35" s="161">
        <v>8.51</v>
      </c>
      <c r="G35" s="202">
        <f t="shared" si="0"/>
        <v>18.72</v>
      </c>
      <c r="H35" s="203">
        <v>9.19</v>
      </c>
      <c r="I35" s="164">
        <f t="shared" si="1"/>
        <v>20.21</v>
      </c>
      <c r="L35" s="148"/>
      <c r="M35" s="148"/>
    </row>
    <row r="36" spans="1:13" s="5" customFormat="1" ht="36" x14ac:dyDescent="0.2">
      <c r="A36" s="199" t="s">
        <v>139</v>
      </c>
      <c r="B36" s="200" t="s">
        <v>162</v>
      </c>
      <c r="C36" s="158" t="s">
        <v>163</v>
      </c>
      <c r="D36" s="159" t="s">
        <v>100</v>
      </c>
      <c r="E36" s="201">
        <v>4.4000000000000004</v>
      </c>
      <c r="F36" s="161">
        <v>3.71</v>
      </c>
      <c r="G36" s="202">
        <f t="shared" si="0"/>
        <v>16.32</v>
      </c>
      <c r="H36" s="203">
        <v>3.85</v>
      </c>
      <c r="I36" s="164">
        <f t="shared" si="1"/>
        <v>16.940000000000001</v>
      </c>
      <c r="L36" s="148"/>
      <c r="M36" s="148"/>
    </row>
    <row r="37" spans="1:13" s="5" customFormat="1" ht="24" x14ac:dyDescent="0.2">
      <c r="A37" s="199" t="s">
        <v>139</v>
      </c>
      <c r="B37" s="200" t="s">
        <v>157</v>
      </c>
      <c r="C37" s="158" t="s">
        <v>158</v>
      </c>
      <c r="D37" s="159" t="s">
        <v>103</v>
      </c>
      <c r="E37" s="201">
        <v>1</v>
      </c>
      <c r="F37" s="161">
        <v>16.260000000000002</v>
      </c>
      <c r="G37" s="202">
        <f t="shared" si="0"/>
        <v>16.260000000000002</v>
      </c>
      <c r="H37" s="203">
        <v>17.79</v>
      </c>
      <c r="I37" s="164">
        <f t="shared" si="1"/>
        <v>17.79</v>
      </c>
      <c r="L37" s="148"/>
      <c r="M37" s="148"/>
    </row>
    <row r="38" spans="1:13" s="5" customFormat="1" ht="24" x14ac:dyDescent="0.2">
      <c r="A38" s="199" t="s">
        <v>139</v>
      </c>
      <c r="B38" s="204">
        <v>91959</v>
      </c>
      <c r="C38" s="205" t="s">
        <v>237</v>
      </c>
      <c r="D38" s="159" t="s">
        <v>103</v>
      </c>
      <c r="E38" s="201">
        <v>1</v>
      </c>
      <c r="F38" s="161">
        <v>40.72</v>
      </c>
      <c r="G38" s="202">
        <f t="shared" si="0"/>
        <v>40.72</v>
      </c>
      <c r="H38" s="203">
        <v>43.46</v>
      </c>
      <c r="I38" s="164">
        <f t="shared" si="1"/>
        <v>43.46</v>
      </c>
      <c r="L38" s="148"/>
      <c r="M38" s="148"/>
    </row>
    <row r="39" spans="1:13" s="5" customFormat="1" ht="14.45" customHeight="1" x14ac:dyDescent="0.2">
      <c r="A39" s="167"/>
      <c r="B39" s="167"/>
      <c r="C39" s="167"/>
      <c r="D39" s="167"/>
      <c r="E39" s="167"/>
      <c r="F39" s="168" t="s">
        <v>140</v>
      </c>
      <c r="G39" s="168">
        <f>TRUNC(SUM(G32:G38),2)</f>
        <v>139.03</v>
      </c>
      <c r="H39" s="168" t="s">
        <v>140</v>
      </c>
      <c r="I39" s="168">
        <f>TRUNC(SUM(I32:I38),2)</f>
        <v>150.63999999999999</v>
      </c>
      <c r="J39" s="169"/>
      <c r="L39" s="148"/>
      <c r="M39" s="148"/>
    </row>
    <row r="40" spans="1:13" s="5" customFormat="1" x14ac:dyDescent="0.2">
      <c r="A40" s="197"/>
      <c r="B40" s="197"/>
      <c r="C40" s="197"/>
      <c r="D40" s="197"/>
      <c r="E40" s="197"/>
      <c r="F40" s="198"/>
      <c r="G40" s="198"/>
      <c r="H40" s="198"/>
      <c r="I40" s="198"/>
    </row>
    <row r="41" spans="1:13" s="5" customFormat="1" x14ac:dyDescent="0.2">
      <c r="A41" s="344" t="s">
        <v>190</v>
      </c>
      <c r="B41" s="345"/>
      <c r="C41" s="345"/>
      <c r="D41" s="345"/>
      <c r="E41" s="345"/>
      <c r="F41" s="345"/>
      <c r="G41" s="345"/>
      <c r="H41" s="345"/>
      <c r="I41" s="346"/>
    </row>
    <row r="42" spans="1:13" s="5" customFormat="1" ht="23.25" customHeight="1" x14ac:dyDescent="0.2">
      <c r="A42" s="347"/>
      <c r="B42" s="348"/>
      <c r="C42" s="348"/>
      <c r="D42" s="348"/>
      <c r="E42" s="348"/>
      <c r="F42" s="348"/>
      <c r="G42" s="348"/>
      <c r="H42" s="348"/>
      <c r="I42" s="349"/>
    </row>
    <row r="43" spans="1:13" s="5" customFormat="1" ht="10.15" customHeight="1" x14ac:dyDescent="0.2">
      <c r="A43" s="350" t="s">
        <v>141</v>
      </c>
      <c r="B43" s="350"/>
      <c r="C43" s="145" t="s">
        <v>126</v>
      </c>
      <c r="D43" s="336" t="s">
        <v>189</v>
      </c>
      <c r="E43" s="336"/>
      <c r="F43" s="336"/>
      <c r="G43" s="336"/>
      <c r="H43" s="336"/>
      <c r="I43" s="336"/>
    </row>
    <row r="44" spans="1:13" s="5" customFormat="1" ht="11.25" customHeight="1" x14ac:dyDescent="0.2">
      <c r="A44" s="351"/>
      <c r="B44" s="351"/>
      <c r="C44" s="338" t="s">
        <v>127</v>
      </c>
      <c r="D44" s="339" t="s">
        <v>188</v>
      </c>
      <c r="E44" s="339"/>
      <c r="F44" s="339"/>
      <c r="G44" s="339"/>
      <c r="H44" s="339"/>
      <c r="I44" s="339"/>
    </row>
    <row r="45" spans="1:13" s="5" customFormat="1" ht="36" customHeight="1" x14ac:dyDescent="0.2">
      <c r="A45" s="351"/>
      <c r="B45" s="351"/>
      <c r="C45" s="338"/>
      <c r="D45" s="339"/>
      <c r="E45" s="340"/>
      <c r="F45" s="340"/>
      <c r="G45" s="340"/>
      <c r="H45" s="340"/>
      <c r="I45" s="340"/>
      <c r="L45" s="208" t="s">
        <v>159</v>
      </c>
    </row>
    <row r="46" spans="1:13" s="5" customFormat="1" ht="10.15" customHeight="1" x14ac:dyDescent="0.2">
      <c r="A46" s="351"/>
      <c r="B46" s="351"/>
      <c r="C46" s="146" t="s">
        <v>128</v>
      </c>
      <c r="D46" s="147" t="s">
        <v>103</v>
      </c>
      <c r="E46" s="355" t="s">
        <v>129</v>
      </c>
      <c r="F46" s="342">
        <f>G53</f>
        <v>47.34</v>
      </c>
      <c r="G46" s="342"/>
      <c r="H46" s="343">
        <f>I53</f>
        <v>50.41</v>
      </c>
      <c r="I46" s="343"/>
    </row>
    <row r="47" spans="1:13" s="5" customFormat="1" ht="14.45" customHeight="1" x14ac:dyDescent="0.2">
      <c r="A47" s="351"/>
      <c r="B47" s="351"/>
      <c r="C47" s="146" t="s">
        <v>130</v>
      </c>
      <c r="D47" s="147">
        <v>1</v>
      </c>
      <c r="E47" s="356"/>
      <c r="F47" s="342"/>
      <c r="G47" s="342"/>
      <c r="H47" s="343"/>
      <c r="I47" s="343"/>
      <c r="K47" s="148"/>
      <c r="L47" s="148"/>
      <c r="M47" s="148"/>
    </row>
    <row r="48" spans="1:13" s="5" customFormat="1" x14ac:dyDescent="0.2">
      <c r="A48" s="2"/>
      <c r="B48" s="2"/>
      <c r="C48" s="3"/>
      <c r="D48" s="4"/>
      <c r="E48" s="86"/>
      <c r="F48" s="330" t="s">
        <v>131</v>
      </c>
      <c r="G48" s="330"/>
      <c r="H48" s="331" t="s">
        <v>132</v>
      </c>
      <c r="I48" s="331"/>
    </row>
    <row r="49" spans="1:13" s="156" customFormat="1" ht="24" x14ac:dyDescent="0.25">
      <c r="A49" s="149" t="s">
        <v>133</v>
      </c>
      <c r="B49" s="149" t="s">
        <v>134</v>
      </c>
      <c r="C49" s="150" t="s">
        <v>99</v>
      </c>
      <c r="D49" s="151" t="s">
        <v>128</v>
      </c>
      <c r="E49" s="152" t="s">
        <v>135</v>
      </c>
      <c r="F49" s="153" t="s">
        <v>136</v>
      </c>
      <c r="G49" s="209" t="s">
        <v>137</v>
      </c>
      <c r="H49" s="210" t="s">
        <v>136</v>
      </c>
      <c r="I49" s="154" t="s">
        <v>137</v>
      </c>
    </row>
    <row r="50" spans="1:13" s="5" customFormat="1" ht="36" x14ac:dyDescent="0.2">
      <c r="A50" s="199" t="s">
        <v>139</v>
      </c>
      <c r="B50" s="200" t="s">
        <v>191</v>
      </c>
      <c r="C50" s="158" t="s">
        <v>192</v>
      </c>
      <c r="D50" s="159" t="s">
        <v>100</v>
      </c>
      <c r="E50" s="201" t="s">
        <v>155</v>
      </c>
      <c r="F50" s="161">
        <v>8.51</v>
      </c>
      <c r="G50" s="202">
        <f>TRUNC($E50*F50,2)</f>
        <v>17.02</v>
      </c>
      <c r="H50" s="203">
        <v>9.19</v>
      </c>
      <c r="I50" s="164">
        <f>TRUNC($E50*H50,2)</f>
        <v>18.38</v>
      </c>
      <c r="L50" s="148"/>
      <c r="M50" s="148"/>
    </row>
    <row r="51" spans="1:13" s="5" customFormat="1" ht="36" x14ac:dyDescent="0.2">
      <c r="A51" s="199" t="s">
        <v>139</v>
      </c>
      <c r="B51" s="200" t="s">
        <v>162</v>
      </c>
      <c r="C51" s="158" t="s">
        <v>163</v>
      </c>
      <c r="D51" s="159" t="s">
        <v>100</v>
      </c>
      <c r="E51" s="201">
        <v>4</v>
      </c>
      <c r="F51" s="161">
        <v>3.71</v>
      </c>
      <c r="G51" s="202">
        <f>TRUNC($E51*F51,2)</f>
        <v>14.84</v>
      </c>
      <c r="H51" s="203">
        <v>3.85</v>
      </c>
      <c r="I51" s="164">
        <f>TRUNC($E51*H51,2)</f>
        <v>15.4</v>
      </c>
      <c r="L51" s="148"/>
      <c r="M51" s="148"/>
    </row>
    <row r="52" spans="1:13" s="5" customFormat="1" ht="24" x14ac:dyDescent="0.2">
      <c r="A52" s="199" t="s">
        <v>139</v>
      </c>
      <c r="B52" s="200" t="s">
        <v>156</v>
      </c>
      <c r="C52" s="158" t="s">
        <v>142</v>
      </c>
      <c r="D52" s="159" t="s">
        <v>103</v>
      </c>
      <c r="E52" s="201">
        <v>1</v>
      </c>
      <c r="F52" s="161">
        <v>15.48</v>
      </c>
      <c r="G52" s="202">
        <f>TRUNC($E52*F52,2)</f>
        <v>15.48</v>
      </c>
      <c r="H52" s="203">
        <v>16.63</v>
      </c>
      <c r="I52" s="164">
        <f>TRUNC($E52*H52,2)</f>
        <v>16.63</v>
      </c>
      <c r="L52" s="148"/>
      <c r="M52" s="148"/>
    </row>
    <row r="53" spans="1:13" s="5" customFormat="1" ht="14.45" customHeight="1" x14ac:dyDescent="0.2">
      <c r="A53" s="167"/>
      <c r="B53" s="167"/>
      <c r="C53" s="167"/>
      <c r="D53" s="167"/>
      <c r="E53" s="167"/>
      <c r="F53" s="168" t="s">
        <v>140</v>
      </c>
      <c r="G53" s="168">
        <f>TRUNC(SUM(G50:G52),2)</f>
        <v>47.34</v>
      </c>
      <c r="H53" s="168" t="s">
        <v>140</v>
      </c>
      <c r="I53" s="168">
        <f>TRUNC(SUM(I50:I52),2)</f>
        <v>50.41</v>
      </c>
      <c r="J53" s="169"/>
      <c r="L53" s="148"/>
      <c r="M53" s="148"/>
    </row>
    <row r="54" spans="1:13" s="5" customFormat="1" x14ac:dyDescent="0.2">
      <c r="A54" s="206"/>
      <c r="B54" s="198"/>
      <c r="C54" s="198"/>
      <c r="D54" s="198"/>
      <c r="E54" s="198"/>
      <c r="F54" s="198"/>
      <c r="G54" s="198"/>
      <c r="H54" s="198"/>
      <c r="I54" s="207"/>
    </row>
    <row r="55" spans="1:13" x14ac:dyDescent="0.2">
      <c r="A55" s="344" t="s">
        <v>239</v>
      </c>
      <c r="B55" s="345"/>
      <c r="C55" s="345"/>
      <c r="D55" s="345"/>
      <c r="E55" s="345"/>
      <c r="F55" s="345"/>
      <c r="G55" s="345"/>
      <c r="H55" s="345"/>
      <c r="I55" s="346"/>
    </row>
    <row r="56" spans="1:13" x14ac:dyDescent="0.2">
      <c r="A56" s="347"/>
      <c r="B56" s="348"/>
      <c r="C56" s="348"/>
      <c r="D56" s="348"/>
      <c r="E56" s="348"/>
      <c r="F56" s="348"/>
      <c r="G56" s="348"/>
      <c r="H56" s="348"/>
      <c r="I56" s="349"/>
    </row>
    <row r="57" spans="1:13" x14ac:dyDescent="0.2">
      <c r="A57" s="332" t="s">
        <v>148</v>
      </c>
      <c r="B57" s="333"/>
      <c r="C57" s="145" t="s">
        <v>193</v>
      </c>
      <c r="D57" s="336" t="s">
        <v>417</v>
      </c>
      <c r="E57" s="336"/>
      <c r="F57" s="336"/>
      <c r="G57" s="336"/>
      <c r="H57" s="336"/>
      <c r="I57" s="337"/>
    </row>
    <row r="58" spans="1:13" x14ac:dyDescent="0.2">
      <c r="A58" s="334"/>
      <c r="B58" s="335"/>
      <c r="C58" s="338" t="s">
        <v>127</v>
      </c>
      <c r="D58" s="339" t="s">
        <v>239</v>
      </c>
      <c r="E58" s="339"/>
      <c r="F58" s="339"/>
      <c r="G58" s="339"/>
      <c r="H58" s="339"/>
      <c r="I58" s="339"/>
    </row>
    <row r="59" spans="1:13" x14ac:dyDescent="0.2">
      <c r="A59" s="334"/>
      <c r="B59" s="335"/>
      <c r="C59" s="338"/>
      <c r="D59" s="339"/>
      <c r="E59" s="340"/>
      <c r="F59" s="340"/>
      <c r="G59" s="340"/>
      <c r="H59" s="340"/>
      <c r="I59" s="340"/>
      <c r="M59" s="5"/>
    </row>
    <row r="60" spans="1:13" x14ac:dyDescent="0.2">
      <c r="A60" s="334"/>
      <c r="B60" s="335"/>
      <c r="C60" s="146" t="s">
        <v>194</v>
      </c>
      <c r="D60" s="147" t="s">
        <v>103</v>
      </c>
      <c r="E60" s="341" t="s">
        <v>195</v>
      </c>
      <c r="F60" s="342">
        <f>G72</f>
        <v>126.16</v>
      </c>
      <c r="G60" s="342"/>
      <c r="H60" s="343">
        <f>I72</f>
        <v>134.71</v>
      </c>
      <c r="I60" s="343"/>
    </row>
    <row r="61" spans="1:13" x14ac:dyDescent="0.2">
      <c r="A61" s="334"/>
      <c r="B61" s="335"/>
      <c r="C61" s="146" t="s">
        <v>196</v>
      </c>
      <c r="D61" s="147">
        <v>1</v>
      </c>
      <c r="E61" s="341"/>
      <c r="F61" s="342"/>
      <c r="G61" s="342"/>
      <c r="H61" s="343"/>
      <c r="I61" s="343"/>
    </row>
    <row r="62" spans="1:13" x14ac:dyDescent="0.2">
      <c r="A62" s="178"/>
      <c r="B62" s="174"/>
      <c r="C62" s="175"/>
      <c r="D62" s="4"/>
      <c r="E62" s="179"/>
      <c r="F62" s="330" t="s">
        <v>131</v>
      </c>
      <c r="G62" s="330"/>
      <c r="H62" s="331" t="s">
        <v>132</v>
      </c>
      <c r="I62" s="331"/>
    </row>
    <row r="63" spans="1:13" ht="24" x14ac:dyDescent="0.2">
      <c r="A63" s="191" t="s">
        <v>133</v>
      </c>
      <c r="B63" s="149" t="s">
        <v>134</v>
      </c>
      <c r="C63" s="150" t="s">
        <v>99</v>
      </c>
      <c r="D63" s="151" t="s">
        <v>128</v>
      </c>
      <c r="E63" s="152" t="s">
        <v>135</v>
      </c>
      <c r="F63" s="180" t="s">
        <v>136</v>
      </c>
      <c r="G63" s="181" t="s">
        <v>137</v>
      </c>
      <c r="H63" s="182" t="s">
        <v>136</v>
      </c>
      <c r="I63" s="183" t="s">
        <v>137</v>
      </c>
    </row>
    <row r="64" spans="1:13" ht="36" x14ac:dyDescent="0.2">
      <c r="A64" s="192" t="s">
        <v>139</v>
      </c>
      <c r="B64" s="165" t="s">
        <v>162</v>
      </c>
      <c r="C64" s="158" t="s">
        <v>418</v>
      </c>
      <c r="D64" s="159" t="s">
        <v>100</v>
      </c>
      <c r="E64" s="160">
        <v>10.531000000000001</v>
      </c>
      <c r="F64" s="184">
        <v>3.71</v>
      </c>
      <c r="G64" s="185">
        <f t="shared" ref="G64:G69" si="2">TRUNC($E64*F64,2)</f>
        <v>39.07</v>
      </c>
      <c r="H64" s="186">
        <v>3.85</v>
      </c>
      <c r="I64" s="164">
        <f t="shared" ref="I64:I69" si="3">TRUNC($E64*H64,2)</f>
        <v>40.54</v>
      </c>
    </row>
    <row r="65" spans="1:9" ht="24" x14ac:dyDescent="0.2">
      <c r="A65" s="192" t="s">
        <v>139</v>
      </c>
      <c r="B65" s="165" t="s">
        <v>157</v>
      </c>
      <c r="C65" s="158" t="s">
        <v>419</v>
      </c>
      <c r="D65" s="159" t="s">
        <v>103</v>
      </c>
      <c r="E65" s="160">
        <v>1</v>
      </c>
      <c r="F65" s="184">
        <v>16.260000000000002</v>
      </c>
      <c r="G65" s="164">
        <f t="shared" si="2"/>
        <v>16.260000000000002</v>
      </c>
      <c r="H65" s="186">
        <v>17.79</v>
      </c>
      <c r="I65" s="164">
        <f t="shared" si="3"/>
        <v>17.79</v>
      </c>
    </row>
    <row r="66" spans="1:9" ht="36" x14ac:dyDescent="0.2">
      <c r="A66" s="192" t="s">
        <v>139</v>
      </c>
      <c r="B66" s="165" t="s">
        <v>153</v>
      </c>
      <c r="C66" s="158" t="s">
        <v>420</v>
      </c>
      <c r="D66" s="159" t="s">
        <v>100</v>
      </c>
      <c r="E66" s="160">
        <v>0.88500000000000001</v>
      </c>
      <c r="F66" s="184">
        <v>12.72</v>
      </c>
      <c r="G66" s="164">
        <f t="shared" si="2"/>
        <v>11.25</v>
      </c>
      <c r="H66" s="186">
        <v>14.02</v>
      </c>
      <c r="I66" s="164">
        <f t="shared" si="3"/>
        <v>12.4</v>
      </c>
    </row>
    <row r="67" spans="1:9" ht="36" x14ac:dyDescent="0.2">
      <c r="A67" s="192" t="s">
        <v>139</v>
      </c>
      <c r="B67" s="165" t="s">
        <v>421</v>
      </c>
      <c r="C67" s="158" t="s">
        <v>422</v>
      </c>
      <c r="D67" s="159" t="s">
        <v>100</v>
      </c>
      <c r="E67" s="160">
        <v>1.6140000000000001</v>
      </c>
      <c r="F67" s="184">
        <v>7.73</v>
      </c>
      <c r="G67" s="164">
        <f t="shared" si="2"/>
        <v>12.47</v>
      </c>
      <c r="H67" s="186">
        <v>8.1</v>
      </c>
      <c r="I67" s="164">
        <f t="shared" si="3"/>
        <v>13.07</v>
      </c>
    </row>
    <row r="68" spans="1:9" ht="36" x14ac:dyDescent="0.2">
      <c r="A68" s="192" t="s">
        <v>139</v>
      </c>
      <c r="B68" s="165" t="s">
        <v>423</v>
      </c>
      <c r="C68" s="158" t="s">
        <v>424</v>
      </c>
      <c r="D68" s="159" t="s">
        <v>100</v>
      </c>
      <c r="E68" s="160">
        <v>0.88500000000000001</v>
      </c>
      <c r="F68" s="184">
        <v>10.02</v>
      </c>
      <c r="G68" s="164">
        <f t="shared" si="2"/>
        <v>8.86</v>
      </c>
      <c r="H68" s="186">
        <v>10.7</v>
      </c>
      <c r="I68" s="164">
        <f t="shared" si="3"/>
        <v>9.4600000000000009</v>
      </c>
    </row>
    <row r="69" spans="1:9" ht="24" x14ac:dyDescent="0.2">
      <c r="A69" s="192" t="s">
        <v>139</v>
      </c>
      <c r="B69" s="165" t="s">
        <v>151</v>
      </c>
      <c r="C69" s="158" t="s">
        <v>425</v>
      </c>
      <c r="D69" s="159" t="s">
        <v>103</v>
      </c>
      <c r="E69" s="160">
        <v>1</v>
      </c>
      <c r="F69" s="184">
        <v>4.4000000000000004</v>
      </c>
      <c r="G69" s="164">
        <f t="shared" si="2"/>
        <v>4.4000000000000004</v>
      </c>
      <c r="H69" s="186">
        <v>4.95</v>
      </c>
      <c r="I69" s="164">
        <f t="shared" si="3"/>
        <v>4.95</v>
      </c>
    </row>
    <row r="70" spans="1:9" ht="24" x14ac:dyDescent="0.2">
      <c r="A70" s="192" t="s">
        <v>139</v>
      </c>
      <c r="B70" s="165" t="s">
        <v>149</v>
      </c>
      <c r="C70" s="158" t="s">
        <v>426</v>
      </c>
      <c r="D70" s="159" t="s">
        <v>100</v>
      </c>
      <c r="E70" s="160">
        <v>0.88500000000000001</v>
      </c>
      <c r="F70" s="184">
        <v>6.65</v>
      </c>
      <c r="G70" s="164">
        <f>TRUNC($E70*F70,2)</f>
        <v>5.88</v>
      </c>
      <c r="H70" s="186">
        <v>7.48</v>
      </c>
      <c r="I70" s="164">
        <f>TRUNC($E70*H70,2)</f>
        <v>6.61</v>
      </c>
    </row>
    <row r="71" spans="1:9" ht="24" x14ac:dyDescent="0.2">
      <c r="A71" s="192" t="s">
        <v>139</v>
      </c>
      <c r="B71" s="165" t="s">
        <v>427</v>
      </c>
      <c r="C71" s="158" t="s">
        <v>428</v>
      </c>
      <c r="D71" s="159" t="s">
        <v>103</v>
      </c>
      <c r="E71" s="160">
        <v>1</v>
      </c>
      <c r="F71" s="184">
        <v>27.97</v>
      </c>
      <c r="G71" s="164">
        <f>TRUNC($E71*F71,2)</f>
        <v>27.97</v>
      </c>
      <c r="H71" s="186">
        <v>29.89</v>
      </c>
      <c r="I71" s="164">
        <f>TRUNC($E71*H71,2)</f>
        <v>29.89</v>
      </c>
    </row>
    <row r="72" spans="1:9" x14ac:dyDescent="0.2">
      <c r="A72" s="193"/>
      <c r="B72" s="187"/>
      <c r="C72" s="187"/>
      <c r="D72" s="187"/>
      <c r="E72" s="188"/>
      <c r="F72" s="172" t="s">
        <v>140</v>
      </c>
      <c r="G72" s="189">
        <f>TRUNC(SUM(G64:G71),2)</f>
        <v>126.16</v>
      </c>
      <c r="H72" s="173" t="s">
        <v>140</v>
      </c>
      <c r="I72" s="190">
        <f>TRUNC(SUM(I64:I71),2)</f>
        <v>134.71</v>
      </c>
    </row>
    <row r="74" spans="1:9" x14ac:dyDescent="0.2">
      <c r="A74" s="344" t="s">
        <v>240</v>
      </c>
      <c r="B74" s="345"/>
      <c r="C74" s="345"/>
      <c r="D74" s="345"/>
      <c r="E74" s="345"/>
      <c r="F74" s="345"/>
      <c r="G74" s="345"/>
      <c r="H74" s="345"/>
      <c r="I74" s="346"/>
    </row>
    <row r="75" spans="1:9" x14ac:dyDescent="0.2">
      <c r="A75" s="347"/>
      <c r="B75" s="348"/>
      <c r="C75" s="348"/>
      <c r="D75" s="348"/>
      <c r="E75" s="348"/>
      <c r="F75" s="348"/>
      <c r="G75" s="348"/>
      <c r="H75" s="348"/>
      <c r="I75" s="349"/>
    </row>
    <row r="76" spans="1:9" x14ac:dyDescent="0.2">
      <c r="A76" s="332" t="s">
        <v>160</v>
      </c>
      <c r="B76" s="333"/>
      <c r="C76" s="145" t="s">
        <v>193</v>
      </c>
      <c r="D76" s="336" t="s">
        <v>429</v>
      </c>
      <c r="E76" s="336"/>
      <c r="F76" s="336"/>
      <c r="G76" s="336"/>
      <c r="H76" s="336"/>
      <c r="I76" s="337"/>
    </row>
    <row r="77" spans="1:9" x14ac:dyDescent="0.2">
      <c r="A77" s="334"/>
      <c r="B77" s="335"/>
      <c r="C77" s="338" t="s">
        <v>127</v>
      </c>
      <c r="D77" s="339" t="s">
        <v>240</v>
      </c>
      <c r="E77" s="339"/>
      <c r="F77" s="339"/>
      <c r="G77" s="339"/>
      <c r="H77" s="339"/>
      <c r="I77" s="339"/>
    </row>
    <row r="78" spans="1:9" x14ac:dyDescent="0.2">
      <c r="A78" s="334"/>
      <c r="B78" s="335"/>
      <c r="C78" s="338"/>
      <c r="D78" s="339"/>
      <c r="E78" s="340"/>
      <c r="F78" s="340"/>
      <c r="G78" s="340"/>
      <c r="H78" s="340"/>
      <c r="I78" s="340"/>
    </row>
    <row r="79" spans="1:9" x14ac:dyDescent="0.2">
      <c r="A79" s="334"/>
      <c r="B79" s="335"/>
      <c r="C79" s="146" t="s">
        <v>194</v>
      </c>
      <c r="D79" s="147" t="s">
        <v>103</v>
      </c>
      <c r="E79" s="341" t="s">
        <v>195</v>
      </c>
      <c r="F79" s="342">
        <f>G91</f>
        <v>160.99</v>
      </c>
      <c r="G79" s="342"/>
      <c r="H79" s="343">
        <f>I91</f>
        <v>172.81</v>
      </c>
      <c r="I79" s="343"/>
    </row>
    <row r="80" spans="1:9" x14ac:dyDescent="0.2">
      <c r="A80" s="334"/>
      <c r="B80" s="335"/>
      <c r="C80" s="146" t="s">
        <v>196</v>
      </c>
      <c r="D80" s="147">
        <v>1</v>
      </c>
      <c r="E80" s="341"/>
      <c r="F80" s="342"/>
      <c r="G80" s="342"/>
      <c r="H80" s="343"/>
      <c r="I80" s="343"/>
    </row>
    <row r="81" spans="1:9" x14ac:dyDescent="0.2">
      <c r="A81" s="194"/>
      <c r="B81" s="2"/>
      <c r="C81" s="3"/>
      <c r="D81" s="4"/>
      <c r="E81" s="179"/>
      <c r="F81" s="330" t="s">
        <v>131</v>
      </c>
      <c r="G81" s="330"/>
      <c r="H81" s="331" t="s">
        <v>132</v>
      </c>
      <c r="I81" s="331"/>
    </row>
    <row r="82" spans="1:9" ht="24" x14ac:dyDescent="0.2">
      <c r="A82" s="191" t="s">
        <v>133</v>
      </c>
      <c r="B82" s="149" t="s">
        <v>134</v>
      </c>
      <c r="C82" s="150" t="s">
        <v>99</v>
      </c>
      <c r="D82" s="151" t="s">
        <v>128</v>
      </c>
      <c r="E82" s="152" t="s">
        <v>135</v>
      </c>
      <c r="F82" s="180" t="s">
        <v>136</v>
      </c>
      <c r="G82" s="181" t="s">
        <v>137</v>
      </c>
      <c r="H82" s="182" t="s">
        <v>136</v>
      </c>
      <c r="I82" s="183" t="s">
        <v>137</v>
      </c>
    </row>
    <row r="83" spans="1:9" s="5" customFormat="1" ht="36" x14ac:dyDescent="0.2">
      <c r="A83" s="192" t="s">
        <v>139</v>
      </c>
      <c r="B83" s="165" t="s">
        <v>162</v>
      </c>
      <c r="C83" s="158" t="s">
        <v>418</v>
      </c>
      <c r="D83" s="159" t="s">
        <v>100</v>
      </c>
      <c r="E83" s="160">
        <v>10.6357</v>
      </c>
      <c r="F83" s="184">
        <v>3.71</v>
      </c>
      <c r="G83" s="185">
        <f t="shared" ref="G83:G90" si="4">TRUNC($E83*F83,2)</f>
        <v>39.450000000000003</v>
      </c>
      <c r="H83" s="186">
        <v>3.85</v>
      </c>
      <c r="I83" s="164">
        <f t="shared" ref="I83:I90" si="5">TRUNC($E83*H83,2)</f>
        <v>40.94</v>
      </c>
    </row>
    <row r="84" spans="1:9" s="5" customFormat="1" ht="24" x14ac:dyDescent="0.2">
      <c r="A84" s="192" t="s">
        <v>139</v>
      </c>
      <c r="B84" s="165" t="s">
        <v>157</v>
      </c>
      <c r="C84" s="158" t="s">
        <v>419</v>
      </c>
      <c r="D84" s="159" t="s">
        <v>103</v>
      </c>
      <c r="E84" s="160">
        <v>1</v>
      </c>
      <c r="F84" s="184">
        <v>16.260000000000002</v>
      </c>
      <c r="G84" s="164">
        <f t="shared" si="4"/>
        <v>16.260000000000002</v>
      </c>
      <c r="H84" s="186">
        <v>17.79</v>
      </c>
      <c r="I84" s="164">
        <f t="shared" si="5"/>
        <v>17.79</v>
      </c>
    </row>
    <row r="85" spans="1:9" s="5" customFormat="1" ht="36" x14ac:dyDescent="0.2">
      <c r="A85" s="192" t="s">
        <v>139</v>
      </c>
      <c r="B85" s="165" t="s">
        <v>153</v>
      </c>
      <c r="C85" s="158" t="s">
        <v>420</v>
      </c>
      <c r="D85" s="159" t="s">
        <v>100</v>
      </c>
      <c r="E85" s="160">
        <v>1.9357</v>
      </c>
      <c r="F85" s="184">
        <v>12.72</v>
      </c>
      <c r="G85" s="164">
        <f t="shared" si="4"/>
        <v>24.62</v>
      </c>
      <c r="H85" s="186">
        <v>14.02</v>
      </c>
      <c r="I85" s="164">
        <f t="shared" si="5"/>
        <v>27.13</v>
      </c>
    </row>
    <row r="86" spans="1:9" s="5" customFormat="1" ht="36" x14ac:dyDescent="0.2">
      <c r="A86" s="192" t="s">
        <v>139</v>
      </c>
      <c r="B86" s="165" t="s">
        <v>421</v>
      </c>
      <c r="C86" s="158" t="s">
        <v>422</v>
      </c>
      <c r="D86" s="159" t="s">
        <v>100</v>
      </c>
      <c r="E86" s="160">
        <v>1.38</v>
      </c>
      <c r="F86" s="184">
        <v>7.73</v>
      </c>
      <c r="G86" s="164">
        <f t="shared" si="4"/>
        <v>10.66</v>
      </c>
      <c r="H86" s="186">
        <v>8.1</v>
      </c>
      <c r="I86" s="164">
        <f t="shared" si="5"/>
        <v>11.17</v>
      </c>
    </row>
    <row r="87" spans="1:9" s="5" customFormat="1" ht="36" x14ac:dyDescent="0.2">
      <c r="A87" s="192" t="s">
        <v>139</v>
      </c>
      <c r="B87" s="165" t="s">
        <v>423</v>
      </c>
      <c r="C87" s="158" t="s">
        <v>424</v>
      </c>
      <c r="D87" s="159" t="s">
        <v>100</v>
      </c>
      <c r="E87" s="160">
        <v>1.9357</v>
      </c>
      <c r="F87" s="184">
        <v>10.02</v>
      </c>
      <c r="G87" s="164">
        <f t="shared" si="4"/>
        <v>19.39</v>
      </c>
      <c r="H87" s="186">
        <v>10.7</v>
      </c>
      <c r="I87" s="164">
        <f t="shared" si="5"/>
        <v>20.71</v>
      </c>
    </row>
    <row r="88" spans="1:9" s="5" customFormat="1" ht="24" x14ac:dyDescent="0.2">
      <c r="A88" s="192" t="s">
        <v>139</v>
      </c>
      <c r="B88" s="165" t="s">
        <v>151</v>
      </c>
      <c r="C88" s="158" t="s">
        <v>425</v>
      </c>
      <c r="D88" s="159" t="s">
        <v>103</v>
      </c>
      <c r="E88" s="160">
        <v>1</v>
      </c>
      <c r="F88" s="184">
        <v>4.4000000000000004</v>
      </c>
      <c r="G88" s="164">
        <f t="shared" si="4"/>
        <v>4.4000000000000004</v>
      </c>
      <c r="H88" s="186">
        <v>4.95</v>
      </c>
      <c r="I88" s="164">
        <f t="shared" si="5"/>
        <v>4.95</v>
      </c>
    </row>
    <row r="89" spans="1:9" s="5" customFormat="1" ht="24" x14ac:dyDescent="0.2">
      <c r="A89" s="192" t="s">
        <v>139</v>
      </c>
      <c r="B89" s="165" t="s">
        <v>149</v>
      </c>
      <c r="C89" s="158" t="s">
        <v>426</v>
      </c>
      <c r="D89" s="159" t="s">
        <v>100</v>
      </c>
      <c r="E89" s="160">
        <v>1.9357</v>
      </c>
      <c r="F89" s="184">
        <v>6.65</v>
      </c>
      <c r="G89" s="164">
        <f t="shared" si="4"/>
        <v>12.87</v>
      </c>
      <c r="H89" s="186">
        <v>7.48</v>
      </c>
      <c r="I89" s="164">
        <f t="shared" si="5"/>
        <v>14.47</v>
      </c>
    </row>
    <row r="90" spans="1:9" s="5" customFormat="1" ht="24" x14ac:dyDescent="0.2">
      <c r="A90" s="192" t="s">
        <v>139</v>
      </c>
      <c r="B90" s="165" t="s">
        <v>430</v>
      </c>
      <c r="C90" s="158" t="s">
        <v>431</v>
      </c>
      <c r="D90" s="159" t="s">
        <v>103</v>
      </c>
      <c r="E90" s="160">
        <v>1</v>
      </c>
      <c r="F90" s="184">
        <v>33.340000000000003</v>
      </c>
      <c r="G90" s="164">
        <f t="shared" si="4"/>
        <v>33.340000000000003</v>
      </c>
      <c r="H90" s="186">
        <v>35.65</v>
      </c>
      <c r="I90" s="164">
        <f t="shared" si="5"/>
        <v>35.65</v>
      </c>
    </row>
    <row r="91" spans="1:9" s="5" customFormat="1" x14ac:dyDescent="0.2">
      <c r="A91" s="193"/>
      <c r="B91" s="187"/>
      <c r="C91" s="187"/>
      <c r="D91" s="187"/>
      <c r="E91" s="188"/>
      <c r="F91" s="172" t="s">
        <v>140</v>
      </c>
      <c r="G91" s="189">
        <f>TRUNC(SUM(G83:G90),2)</f>
        <v>160.99</v>
      </c>
      <c r="H91" s="173" t="s">
        <v>140</v>
      </c>
      <c r="I91" s="190">
        <f>TRUNC(SUM(I83:I90),2)</f>
        <v>172.81</v>
      </c>
    </row>
    <row r="337" spans="12:12" x14ac:dyDescent="0.2">
      <c r="L337" s="170" t="e">
        <f>#REF!</f>
        <v>#REF!</v>
      </c>
    </row>
  </sheetData>
  <mergeCells count="51">
    <mergeCell ref="E46:E47"/>
    <mergeCell ref="F30:G30"/>
    <mergeCell ref="H30:I30"/>
    <mergeCell ref="F46:G47"/>
    <mergeCell ref="D44:I45"/>
    <mergeCell ref="D24:I24"/>
    <mergeCell ref="C25:C27"/>
    <mergeCell ref="D25:I27"/>
    <mergeCell ref="E28:E29"/>
    <mergeCell ref="F28:G29"/>
    <mergeCell ref="H46:I47"/>
    <mergeCell ref="A2:I2"/>
    <mergeCell ref="A8:I9"/>
    <mergeCell ref="A10:B15"/>
    <mergeCell ref="D10:I10"/>
    <mergeCell ref="C11:C13"/>
    <mergeCell ref="D11:I13"/>
    <mergeCell ref="E14:E15"/>
    <mergeCell ref="F14:G15"/>
    <mergeCell ref="H14:I15"/>
    <mergeCell ref="A41:I42"/>
    <mergeCell ref="F16:G16"/>
    <mergeCell ref="H16:I16"/>
    <mergeCell ref="A43:B47"/>
    <mergeCell ref="D43:I43"/>
    <mergeCell ref="C44:C45"/>
    <mergeCell ref="F48:G48"/>
    <mergeCell ref="H48:I48"/>
    <mergeCell ref="A22:I23"/>
    <mergeCell ref="A24:B29"/>
    <mergeCell ref="A74:I75"/>
    <mergeCell ref="F62:G62"/>
    <mergeCell ref="H62:I62"/>
    <mergeCell ref="A57:B61"/>
    <mergeCell ref="D57:I57"/>
    <mergeCell ref="C58:C59"/>
    <mergeCell ref="D58:I59"/>
    <mergeCell ref="E60:E61"/>
    <mergeCell ref="F60:G61"/>
    <mergeCell ref="H60:I61"/>
    <mergeCell ref="A55:I56"/>
    <mergeCell ref="H28:I29"/>
    <mergeCell ref="F81:G81"/>
    <mergeCell ref="H81:I81"/>
    <mergeCell ref="A76:B80"/>
    <mergeCell ref="D76:I76"/>
    <mergeCell ref="C77:C78"/>
    <mergeCell ref="D77:I78"/>
    <mergeCell ref="E79:E80"/>
    <mergeCell ref="F79:G80"/>
    <mergeCell ref="H79:I80"/>
  </mergeCells>
  <phoneticPr fontId="7" type="noConversion"/>
  <conditionalFormatting sqref="L6">
    <cfRule type="expression" dxfId="1" priority="9" stopIfTrue="1">
      <formula>AND($A6&lt;&gt;"COMPOSICAO",$A6&lt;&gt;"INSUMO",$A6&lt;&gt;"")</formula>
    </cfRule>
    <cfRule type="expression" dxfId="0" priority="10" stopIfTrue="1">
      <formula>AND(OR($A6="COMPOSICAO",$A6="INSUMO",$A6&lt;&gt;""),$A6&lt;&gt;"")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65" fitToHeight="0" orientation="portrait" r:id="rId1"/>
  <headerFooter>
    <oddHeader>&amp;L&amp;G&amp;R&amp;G</oddHeader>
    <oddFooter>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J60"/>
  <sheetViews>
    <sheetView view="pageBreakPreview" topLeftCell="A7" zoomScale="145" zoomScaleSheetLayoutView="145" workbookViewId="0">
      <pane ySplit="1245" topLeftCell="A18" activePane="bottomLeft"/>
      <selection activeCell="H8" sqref="H1:O1048576"/>
      <selection pane="bottomLeft" activeCell="C10" sqref="C10"/>
    </sheetView>
  </sheetViews>
  <sheetFormatPr defaultRowHeight="11.25" x14ac:dyDescent="0.2"/>
  <cols>
    <col min="1" max="1" width="5.7109375" style="41" customWidth="1"/>
    <col min="2" max="2" width="33.7109375" style="41" customWidth="1"/>
    <col min="3" max="3" width="10.42578125" style="41" customWidth="1"/>
    <col min="4" max="7" width="11" style="41" customWidth="1"/>
    <col min="8" max="8" width="4" style="41" customWidth="1"/>
    <col min="9" max="9" width="13.28515625" style="41" customWidth="1"/>
    <col min="10" max="10" width="10.42578125" style="41" customWidth="1"/>
    <col min="11" max="16384" width="9.140625" style="41"/>
  </cols>
  <sheetData>
    <row r="1" spans="1:9" ht="18.75" x14ac:dyDescent="0.3">
      <c r="A1" s="380" t="s">
        <v>24</v>
      </c>
      <c r="B1" s="380"/>
      <c r="C1" s="380"/>
      <c r="D1" s="380"/>
      <c r="E1" s="380"/>
      <c r="F1" s="380"/>
      <c r="G1" s="380"/>
    </row>
    <row r="2" spans="1:9" x14ac:dyDescent="0.2">
      <c r="A2" s="36"/>
      <c r="B2" s="36"/>
      <c r="C2" s="36"/>
      <c r="D2" s="36"/>
      <c r="E2" s="36"/>
      <c r="F2" s="36"/>
      <c r="G2" s="36"/>
    </row>
    <row r="3" spans="1:9" s="18" customFormat="1" ht="12.75" x14ac:dyDescent="0.2">
      <c r="A3" s="14"/>
      <c r="B3" s="357" t="str">
        <f>Orçamento!A3</f>
        <v>OBRA: AMPLIAÇÃO DA ESCOLA MUNICIPAL EPAMINONDAS MENDONÇA - ITEM 01</v>
      </c>
      <c r="C3" s="357"/>
      <c r="D3" s="357"/>
      <c r="E3" s="357"/>
      <c r="F3" s="357"/>
      <c r="G3" s="357"/>
    </row>
    <row r="4" spans="1:9" s="18" customFormat="1" ht="12.75" x14ac:dyDescent="0.2">
      <c r="A4" s="14"/>
      <c r="B4" s="15" t="e">
        <f>#REF!</f>
        <v>#REF!</v>
      </c>
      <c r="C4" s="14"/>
      <c r="D4" s="14"/>
      <c r="E4" s="14"/>
      <c r="F4" s="14"/>
      <c r="G4" s="14"/>
    </row>
    <row r="5" spans="1:9" s="18" customFormat="1" ht="12.75" x14ac:dyDescent="0.2">
      <c r="A5" s="14"/>
      <c r="B5" s="22" t="e">
        <f>#REF!</f>
        <v>#REF!</v>
      </c>
      <c r="C5" s="14"/>
      <c r="D5" s="14"/>
      <c r="E5" s="14"/>
      <c r="F5" s="14"/>
      <c r="G5" s="14"/>
    </row>
    <row r="6" spans="1:9" x14ac:dyDescent="0.2">
      <c r="A6" s="6"/>
      <c r="B6" s="6"/>
      <c r="C6" s="8"/>
      <c r="D6" s="9"/>
      <c r="E6" s="9"/>
      <c r="F6" s="9"/>
      <c r="G6" s="9"/>
    </row>
    <row r="7" spans="1:9" s="43" customFormat="1" x14ac:dyDescent="0.2">
      <c r="A7" s="381" t="s">
        <v>25</v>
      </c>
      <c r="B7" s="381" t="s">
        <v>26</v>
      </c>
      <c r="C7" s="382" t="s">
        <v>28</v>
      </c>
      <c r="D7" s="383" t="s">
        <v>27</v>
      </c>
      <c r="E7" s="383"/>
      <c r="F7" s="383"/>
      <c r="G7" s="383"/>
    </row>
    <row r="8" spans="1:9" s="43" customFormat="1" x14ac:dyDescent="0.2">
      <c r="A8" s="381"/>
      <c r="B8" s="381"/>
      <c r="C8" s="382"/>
      <c r="D8" s="42" t="s">
        <v>50</v>
      </c>
      <c r="E8" s="42" t="s">
        <v>51</v>
      </c>
      <c r="F8" s="42" t="s">
        <v>52</v>
      </c>
      <c r="G8" s="42" t="s">
        <v>293</v>
      </c>
    </row>
    <row r="9" spans="1:9" s="30" customFormat="1" x14ac:dyDescent="0.2">
      <c r="A9" s="44"/>
      <c r="B9" s="45"/>
      <c r="C9" s="46"/>
      <c r="D9" s="47"/>
      <c r="E9" s="48"/>
      <c r="F9" s="48"/>
      <c r="G9" s="48"/>
    </row>
    <row r="10" spans="1:9" s="10" customFormat="1" x14ac:dyDescent="0.2">
      <c r="A10" s="49" t="s">
        <v>114</v>
      </c>
      <c r="B10" s="50" t="str">
        <f>Orçamento!D11</f>
        <v>SERVIÇOS PRELIMINARES</v>
      </c>
      <c r="C10" s="51">
        <f>Orçamento!I11</f>
        <v>2995.6</v>
      </c>
      <c r="D10" s="52">
        <f>ROUND($C10*D11,2)</f>
        <v>2995.6</v>
      </c>
      <c r="E10" s="53"/>
      <c r="F10" s="53"/>
      <c r="G10" s="53"/>
      <c r="I10" s="54">
        <f>C10-SUM(D10:G10)</f>
        <v>0</v>
      </c>
    </row>
    <row r="11" spans="1:9" s="10" customFormat="1" x14ac:dyDescent="0.2">
      <c r="A11" s="44"/>
      <c r="B11" s="45"/>
      <c r="C11" s="55">
        <f>C10/$C$49</f>
        <v>5.8220629013296969E-3</v>
      </c>
      <c r="D11" s="56">
        <v>1</v>
      </c>
      <c r="E11" s="53"/>
      <c r="F11" s="53"/>
      <c r="G11" s="53"/>
    </row>
    <row r="12" spans="1:9" s="62" customFormat="1" ht="8.25" x14ac:dyDescent="0.15">
      <c r="A12" s="57"/>
      <c r="B12" s="58"/>
      <c r="C12" s="59"/>
      <c r="D12" s="60"/>
      <c r="E12" s="61"/>
      <c r="F12" s="61"/>
      <c r="G12" s="61"/>
    </row>
    <row r="13" spans="1:9" s="10" customFormat="1" x14ac:dyDescent="0.2">
      <c r="A13" s="49" t="s">
        <v>115</v>
      </c>
      <c r="B13" s="50" t="str">
        <f>Orçamento!D13</f>
        <v>ADMINISTRAÇÃO</v>
      </c>
      <c r="C13" s="51">
        <f>Orçamento!I13</f>
        <v>11412.95</v>
      </c>
      <c r="D13" s="52">
        <f>ROUND($C13*D14,2)</f>
        <v>2853.24</v>
      </c>
      <c r="E13" s="52">
        <f t="shared" ref="E13:F13" si="0">ROUND($C13*E14,2)</f>
        <v>2853.24</v>
      </c>
      <c r="F13" s="52">
        <f t="shared" si="0"/>
        <v>2853.24</v>
      </c>
      <c r="G13" s="52">
        <f>ROUND($C13*G14,2)-0.01</f>
        <v>2853.2299999999996</v>
      </c>
      <c r="I13" s="54">
        <f>C13-SUM(D13:G13)</f>
        <v>0</v>
      </c>
    </row>
    <row r="14" spans="1:9" s="10" customFormat="1" x14ac:dyDescent="0.2">
      <c r="A14" s="44"/>
      <c r="B14" s="45"/>
      <c r="C14" s="55">
        <f>C13/$C$49</f>
        <v>2.2181503802153415E-2</v>
      </c>
      <c r="D14" s="56">
        <f>100%/4</f>
        <v>0.25</v>
      </c>
      <c r="E14" s="56">
        <f>100%/4</f>
        <v>0.25</v>
      </c>
      <c r="F14" s="56">
        <f>100%/4</f>
        <v>0.25</v>
      </c>
      <c r="G14" s="56">
        <f>100%/4</f>
        <v>0.25</v>
      </c>
    </row>
    <row r="15" spans="1:9" s="62" customFormat="1" ht="8.25" x14ac:dyDescent="0.15">
      <c r="A15" s="57"/>
      <c r="B15" s="64"/>
      <c r="C15" s="59"/>
      <c r="D15" s="65"/>
      <c r="E15" s="61"/>
      <c r="F15" s="61"/>
      <c r="G15" s="61"/>
    </row>
    <row r="16" spans="1:9" s="10" customFormat="1" x14ac:dyDescent="0.2">
      <c r="A16" s="49" t="s">
        <v>116</v>
      </c>
      <c r="B16" s="50" t="str">
        <f>Orçamento!D15</f>
        <v>TRABALHOS EM TERRA</v>
      </c>
      <c r="C16" s="51">
        <f>Orçamento!I15</f>
        <v>14784.279999999999</v>
      </c>
      <c r="D16" s="52">
        <f>ROUND($C16*D17,2)</f>
        <v>14784.28</v>
      </c>
      <c r="E16" s="53"/>
      <c r="F16" s="53"/>
      <c r="G16" s="53"/>
      <c r="I16" s="54">
        <f>C16-SUM(D16:G16)</f>
        <v>0</v>
      </c>
    </row>
    <row r="17" spans="1:9" s="10" customFormat="1" x14ac:dyDescent="0.2">
      <c r="A17" s="44"/>
      <c r="B17" s="45"/>
      <c r="C17" s="55">
        <f>C16/$C$49</f>
        <v>2.873381229498952E-2</v>
      </c>
      <c r="D17" s="56">
        <v>1</v>
      </c>
      <c r="E17" s="63"/>
      <c r="F17" s="63"/>
      <c r="G17" s="53"/>
    </row>
    <row r="18" spans="1:9" s="62" customFormat="1" x14ac:dyDescent="0.2">
      <c r="A18" s="57"/>
      <c r="B18" s="64"/>
      <c r="C18" s="59"/>
      <c r="D18" s="65"/>
      <c r="E18" s="63"/>
      <c r="F18" s="63"/>
      <c r="G18" s="53"/>
    </row>
    <row r="19" spans="1:9" s="10" customFormat="1" x14ac:dyDescent="0.2">
      <c r="A19" s="49" t="s">
        <v>117</v>
      </c>
      <c r="B19" s="50" t="str">
        <f>Orçamento!D19</f>
        <v>INFRAESTRUTURA</v>
      </c>
      <c r="C19" s="51">
        <f>Orçamento!I19</f>
        <v>63321.91</v>
      </c>
      <c r="D19" s="51">
        <f>ROUND($C19*D20,2)</f>
        <v>63321.91</v>
      </c>
      <c r="E19" s="63"/>
      <c r="F19" s="53"/>
      <c r="G19" s="53"/>
      <c r="I19" s="54">
        <f>C19-SUM(D19:G19)</f>
        <v>0</v>
      </c>
    </row>
    <row r="20" spans="1:9" s="10" customFormat="1" x14ac:dyDescent="0.2">
      <c r="A20" s="44"/>
      <c r="B20" s="45"/>
      <c r="C20" s="55">
        <f>C19/$C$49</f>
        <v>0.1230685482215042</v>
      </c>
      <c r="D20" s="67">
        <v>1</v>
      </c>
      <c r="E20" s="63"/>
      <c r="F20" s="63"/>
      <c r="G20" s="53"/>
    </row>
    <row r="21" spans="1:9" s="62" customFormat="1" x14ac:dyDescent="0.2">
      <c r="A21" s="57"/>
      <c r="B21" s="68"/>
      <c r="C21" s="69"/>
      <c r="D21" s="53"/>
      <c r="E21" s="61"/>
      <c r="F21" s="63"/>
      <c r="G21" s="53"/>
    </row>
    <row r="22" spans="1:9" s="10" customFormat="1" x14ac:dyDescent="0.2">
      <c r="A22" s="49" t="s">
        <v>118</v>
      </c>
      <c r="B22" s="50" t="str">
        <f>Orçamento!D27</f>
        <v>ESTRUTURA</v>
      </c>
      <c r="C22" s="51">
        <f>Orçamento!I27</f>
        <v>221807.33000000002</v>
      </c>
      <c r="D22" s="51">
        <f>ROUND($C22*D23,2)</f>
        <v>22180.73</v>
      </c>
      <c r="E22" s="51">
        <f>ROUND($C22*E23,2)</f>
        <v>155265.13</v>
      </c>
      <c r="F22" s="51">
        <f>ROUND($C22*F23,2)</f>
        <v>44361.47</v>
      </c>
      <c r="G22" s="53"/>
      <c r="I22" s="54">
        <f>C22-SUM(D22:G22)</f>
        <v>0</v>
      </c>
    </row>
    <row r="23" spans="1:9" s="10" customFormat="1" x14ac:dyDescent="0.2">
      <c r="A23" s="44"/>
      <c r="B23" s="45"/>
      <c r="C23" s="55">
        <f>C22/$C$49</f>
        <v>0.43109100922552868</v>
      </c>
      <c r="D23" s="67">
        <v>0.1</v>
      </c>
      <c r="E23" s="67">
        <v>0.7</v>
      </c>
      <c r="F23" s="67">
        <v>0.2</v>
      </c>
      <c r="G23" s="53"/>
    </row>
    <row r="24" spans="1:9" s="62" customFormat="1" x14ac:dyDescent="0.2">
      <c r="A24" s="57"/>
      <c r="B24" s="58"/>
      <c r="C24" s="59"/>
      <c r="D24" s="53"/>
      <c r="E24" s="61"/>
      <c r="F24" s="63"/>
      <c r="G24" s="53"/>
    </row>
    <row r="25" spans="1:9" s="10" customFormat="1" x14ac:dyDescent="0.2">
      <c r="A25" s="49" t="s">
        <v>119</v>
      </c>
      <c r="B25" s="50" t="str">
        <f>Orçamento!D38</f>
        <v>PAREDES E REVESTIMENTOS</v>
      </c>
      <c r="C25" s="51">
        <f>Orçamento!I38</f>
        <v>46739.199999999997</v>
      </c>
      <c r="D25" s="53"/>
      <c r="E25" s="63"/>
      <c r="F25" s="51">
        <f>ROUND($C25*F26,2)</f>
        <v>46739.199999999997</v>
      </c>
      <c r="G25" s="63"/>
      <c r="I25" s="54">
        <f>C25-SUM(D25:G25)</f>
        <v>0</v>
      </c>
    </row>
    <row r="26" spans="1:9" s="10" customFormat="1" x14ac:dyDescent="0.2">
      <c r="A26" s="44"/>
      <c r="B26" s="45"/>
      <c r="C26" s="55">
        <f>C25/$C$49</f>
        <v>9.083941859988949E-2</v>
      </c>
      <c r="D26" s="53"/>
      <c r="E26" s="63"/>
      <c r="F26" s="67">
        <v>1</v>
      </c>
      <c r="G26" s="63"/>
    </row>
    <row r="27" spans="1:9" s="62" customFormat="1" x14ac:dyDescent="0.2">
      <c r="A27" s="57"/>
      <c r="B27" s="58"/>
      <c r="C27" s="59"/>
      <c r="D27" s="53"/>
      <c r="E27" s="53"/>
      <c r="F27" s="63"/>
      <c r="G27" s="63"/>
    </row>
    <row r="28" spans="1:9" s="10" customFormat="1" x14ac:dyDescent="0.2">
      <c r="A28" s="49" t="s">
        <v>120</v>
      </c>
      <c r="B28" s="50" t="str">
        <f>Orçamento!D44</f>
        <v>PISOS</v>
      </c>
      <c r="C28" s="51">
        <f>Orçamento!I44</f>
        <v>52006.29</v>
      </c>
      <c r="D28" s="53"/>
      <c r="E28" s="53"/>
      <c r="F28" s="51">
        <f>ROUND($C28*F29,2)</f>
        <v>52006.29</v>
      </c>
      <c r="G28" s="63"/>
      <c r="I28" s="54">
        <f>C28-SUM(D28:G28)</f>
        <v>0</v>
      </c>
    </row>
    <row r="29" spans="1:9" s="10" customFormat="1" x14ac:dyDescent="0.2">
      <c r="A29" s="44"/>
      <c r="B29" s="45"/>
      <c r="C29" s="55">
        <f>C28/$C$49</f>
        <v>0.10107620898811377</v>
      </c>
      <c r="D29" s="53"/>
      <c r="E29" s="53"/>
      <c r="F29" s="67">
        <v>1</v>
      </c>
      <c r="G29" s="63"/>
    </row>
    <row r="30" spans="1:9" s="62" customFormat="1" x14ac:dyDescent="0.2">
      <c r="A30" s="57"/>
      <c r="B30" s="58"/>
      <c r="C30" s="59"/>
      <c r="D30" s="53"/>
      <c r="E30" s="53"/>
      <c r="F30" s="53"/>
      <c r="G30" s="53"/>
    </row>
    <row r="31" spans="1:9" s="10" customFormat="1" x14ac:dyDescent="0.2">
      <c r="A31" s="49" t="s">
        <v>121</v>
      </c>
      <c r="B31" s="50" t="str">
        <f>Orçamento!D47</f>
        <v>COBERTA</v>
      </c>
      <c r="C31" s="51">
        <f>Orçamento!I47</f>
        <v>53339</v>
      </c>
      <c r="D31" s="53"/>
      <c r="E31" s="53"/>
      <c r="F31" s="53"/>
      <c r="G31" s="51">
        <f>ROUND($C31*G32,2)</f>
        <v>53339</v>
      </c>
      <c r="I31" s="54">
        <f>C31-SUM(D31:G31)</f>
        <v>0</v>
      </c>
    </row>
    <row r="32" spans="1:9" s="10" customFormat="1" x14ac:dyDescent="0.2">
      <c r="A32" s="44"/>
      <c r="B32" s="45"/>
      <c r="C32" s="55">
        <f>C31/$C$49</f>
        <v>0.10366638172453756</v>
      </c>
      <c r="D32" s="53"/>
      <c r="E32" s="53"/>
      <c r="F32" s="53"/>
      <c r="G32" s="67">
        <v>1</v>
      </c>
    </row>
    <row r="33" spans="1:9" s="62" customFormat="1" x14ac:dyDescent="0.2">
      <c r="A33" s="57"/>
      <c r="B33" s="58"/>
      <c r="C33" s="59"/>
      <c r="D33" s="53"/>
      <c r="E33" s="53"/>
      <c r="F33" s="53"/>
      <c r="G33" s="53"/>
    </row>
    <row r="34" spans="1:9" s="10" customFormat="1" x14ac:dyDescent="0.2">
      <c r="A34" s="49" t="s">
        <v>122</v>
      </c>
      <c r="B34" s="50" t="str">
        <f>Orçamento!D52</f>
        <v>ESQUADRIAS</v>
      </c>
      <c r="C34" s="51">
        <f>Orçamento!I52</f>
        <v>21569.71</v>
      </c>
      <c r="D34" s="53"/>
      <c r="E34" s="53"/>
      <c r="F34" s="53"/>
      <c r="G34" s="51">
        <f>ROUND($C34*G35,2)</f>
        <v>21569.71</v>
      </c>
      <c r="I34" s="54">
        <f>C34-SUM(D34:G34)</f>
        <v>0</v>
      </c>
    </row>
    <row r="35" spans="1:9" s="10" customFormat="1" x14ac:dyDescent="0.2">
      <c r="A35" s="44"/>
      <c r="B35" s="45"/>
      <c r="C35" s="55">
        <f>C34/$C$49</f>
        <v>4.1921554407611222E-2</v>
      </c>
      <c r="D35" s="53"/>
      <c r="E35" s="53"/>
      <c r="F35" s="53"/>
      <c r="G35" s="67">
        <v>1</v>
      </c>
    </row>
    <row r="36" spans="1:9" s="62" customFormat="1" x14ac:dyDescent="0.2">
      <c r="A36" s="57"/>
      <c r="B36" s="58"/>
      <c r="C36" s="70"/>
      <c r="D36" s="53"/>
      <c r="E36" s="53"/>
      <c r="F36" s="53"/>
      <c r="G36" s="53"/>
    </row>
    <row r="37" spans="1:9" s="10" customFormat="1" x14ac:dyDescent="0.2">
      <c r="A37" s="49" t="s">
        <v>206</v>
      </c>
      <c r="B37" s="50" t="str">
        <f>Orçamento!D55</f>
        <v>PINTURA</v>
      </c>
      <c r="C37" s="51">
        <f>Orçamento!I55</f>
        <v>9768.42</v>
      </c>
      <c r="D37" s="53"/>
      <c r="E37" s="53"/>
      <c r="F37" s="53"/>
      <c r="G37" s="51">
        <f>ROUND($C37*G38,2)</f>
        <v>9768.42</v>
      </c>
      <c r="I37" s="54">
        <f>C37-SUM(D37:G37)</f>
        <v>0</v>
      </c>
    </row>
    <row r="38" spans="1:9" s="10" customFormat="1" x14ac:dyDescent="0.2">
      <c r="A38" s="44"/>
      <c r="B38" s="45"/>
      <c r="C38" s="55">
        <f>C37/$C$49</f>
        <v>1.898529699779912E-2</v>
      </c>
      <c r="D38" s="53"/>
      <c r="E38" s="53"/>
      <c r="F38" s="53"/>
      <c r="G38" s="67">
        <v>1</v>
      </c>
    </row>
    <row r="39" spans="1:9" s="62" customFormat="1" x14ac:dyDescent="0.2">
      <c r="A39" s="57"/>
      <c r="B39" s="58"/>
      <c r="C39" s="70"/>
      <c r="D39" s="53"/>
      <c r="E39" s="53"/>
      <c r="F39" s="53"/>
      <c r="G39" s="53"/>
    </row>
    <row r="40" spans="1:9" s="10" customFormat="1" x14ac:dyDescent="0.2">
      <c r="A40" s="49" t="s">
        <v>207</v>
      </c>
      <c r="B40" s="50" t="str">
        <f>Orçamento!D58</f>
        <v>INSTALAÇÕES ELÉTRICAS</v>
      </c>
      <c r="C40" s="51">
        <f>Orçamento!I58</f>
        <v>14377.35</v>
      </c>
      <c r="D40" s="53"/>
      <c r="E40" s="53"/>
      <c r="F40" s="53"/>
      <c r="G40" s="51">
        <f>ROUND($C40*G41,2)</f>
        <v>14377.35</v>
      </c>
      <c r="I40" s="54">
        <f>C40-SUM(D40:G40)</f>
        <v>0</v>
      </c>
    </row>
    <row r="41" spans="1:9" s="10" customFormat="1" x14ac:dyDescent="0.2">
      <c r="A41" s="44"/>
      <c r="B41" s="45"/>
      <c r="C41" s="55">
        <f>C40/$C$49</f>
        <v>2.7942928313003247E-2</v>
      </c>
      <c r="D41" s="53"/>
      <c r="E41" s="53"/>
      <c r="F41" s="53"/>
      <c r="G41" s="67">
        <v>1</v>
      </c>
    </row>
    <row r="42" spans="1:9" s="62" customFormat="1" x14ac:dyDescent="0.2">
      <c r="A42" s="57"/>
      <c r="B42" s="58"/>
      <c r="C42" s="70"/>
      <c r="D42" s="53"/>
      <c r="E42" s="53"/>
      <c r="F42" s="53"/>
      <c r="G42" s="53"/>
    </row>
    <row r="43" spans="1:9" s="10" customFormat="1" x14ac:dyDescent="0.2">
      <c r="A43" s="49" t="s">
        <v>282</v>
      </c>
      <c r="B43" s="50" t="str">
        <f>Orçamento!D73</f>
        <v>INSTALAÇÕES HIDROSSANITÁRIAS</v>
      </c>
      <c r="C43" s="51">
        <f>Orçamento!I73</f>
        <v>1130.48</v>
      </c>
      <c r="D43" s="53"/>
      <c r="E43" s="53"/>
      <c r="F43" s="53"/>
      <c r="G43" s="51">
        <f>ROUND($C43*G44,2)</f>
        <v>1130.48</v>
      </c>
      <c r="I43" s="54">
        <f>C43-SUM(D43:G43)</f>
        <v>0</v>
      </c>
    </row>
    <row r="44" spans="1:9" s="10" customFormat="1" x14ac:dyDescent="0.2">
      <c r="A44" s="44"/>
      <c r="B44" s="45"/>
      <c r="C44" s="55">
        <f>C43/$C$49</f>
        <v>2.1971310150538108E-3</v>
      </c>
      <c r="D44" s="53"/>
      <c r="E44" s="53"/>
      <c r="F44" s="53"/>
      <c r="G44" s="67">
        <v>1</v>
      </c>
    </row>
    <row r="45" spans="1:9" s="62" customFormat="1" x14ac:dyDescent="0.2">
      <c r="A45" s="57"/>
      <c r="B45" s="58"/>
      <c r="C45" s="70"/>
      <c r="D45" s="53"/>
      <c r="E45" s="53"/>
      <c r="F45" s="53"/>
      <c r="G45" s="53"/>
    </row>
    <row r="46" spans="1:9" s="10" customFormat="1" x14ac:dyDescent="0.2">
      <c r="A46" s="49" t="s">
        <v>283</v>
      </c>
      <c r="B46" s="50" t="str">
        <f>Orçamento!D76</f>
        <v>DIVERSOS</v>
      </c>
      <c r="C46" s="51">
        <f>Orçamento!I76</f>
        <v>1273.01</v>
      </c>
      <c r="D46" s="53"/>
      <c r="E46" s="53"/>
      <c r="F46" s="53"/>
      <c r="G46" s="51">
        <f>ROUND($C46*G47,2)</f>
        <v>1273.01</v>
      </c>
      <c r="I46" s="54">
        <f>C46-SUM(D46:G46)</f>
        <v>0</v>
      </c>
    </row>
    <row r="47" spans="1:9" s="10" customFormat="1" x14ac:dyDescent="0.2">
      <c r="A47" s="44"/>
      <c r="B47" s="45"/>
      <c r="C47" s="55">
        <f>C46/$C$49</f>
        <v>2.4741435084863527E-3</v>
      </c>
      <c r="D47" s="53"/>
      <c r="E47" s="53"/>
      <c r="F47" s="53"/>
      <c r="G47" s="67">
        <v>1</v>
      </c>
    </row>
    <row r="48" spans="1:9" s="62" customFormat="1" ht="8.25" x14ac:dyDescent="0.15">
      <c r="A48" s="57"/>
      <c r="B48" s="58"/>
      <c r="C48" s="70"/>
      <c r="D48" s="65"/>
      <c r="E48" s="61"/>
      <c r="F48" s="61"/>
      <c r="G48" s="61"/>
    </row>
    <row r="49" spans="1:10" s="10" customFormat="1" x14ac:dyDescent="0.2">
      <c r="A49" s="384" t="s">
        <v>49</v>
      </c>
      <c r="B49" s="384"/>
      <c r="C49" s="52">
        <f>C10+C13+C16+C19+C22+C25+C28+C31+C34+C37+C40+C43+C46</f>
        <v>514525.52999999997</v>
      </c>
      <c r="D49" s="66"/>
      <c r="E49" s="53"/>
      <c r="F49" s="53"/>
      <c r="G49" s="51">
        <f>ROUND($C49*G50,2)</f>
        <v>514525.53</v>
      </c>
    </row>
    <row r="50" spans="1:10" s="10" customFormat="1" x14ac:dyDescent="0.2">
      <c r="A50" s="384"/>
      <c r="B50" s="384"/>
      <c r="C50" s="71">
        <f>C49/$C$49</f>
        <v>1</v>
      </c>
      <c r="D50" s="66"/>
      <c r="E50" s="63"/>
      <c r="F50" s="63"/>
      <c r="G50" s="67">
        <v>1</v>
      </c>
    </row>
    <row r="51" spans="1:10" s="10" customFormat="1" x14ac:dyDescent="0.2">
      <c r="A51" s="72"/>
      <c r="B51" s="73"/>
      <c r="C51" s="74"/>
      <c r="D51" s="75"/>
      <c r="E51" s="76"/>
      <c r="F51" s="76"/>
      <c r="G51" s="76"/>
    </row>
    <row r="52" spans="1:10" s="40" customFormat="1" x14ac:dyDescent="0.2">
      <c r="A52" s="385" t="s">
        <v>55</v>
      </c>
      <c r="B52" s="385"/>
      <c r="C52" s="385"/>
      <c r="D52" s="134">
        <f>SUM(D10,D13,D16,D19,D22,D25,D28,D46,D31,D34,D37,D40,D43)</f>
        <v>106135.76</v>
      </c>
      <c r="E52" s="134">
        <f>SUM(E10,E13,E16,E19,E22,E25,E28,E46,E31,E34,E37,E40,E43)</f>
        <v>158118.37</v>
      </c>
      <c r="F52" s="134">
        <f>SUM(F10,F13,F16,F19,F22,F25,F28,F46,F31,F34,F37,F40,F43)</f>
        <v>145960.20000000001</v>
      </c>
      <c r="G52" s="134">
        <f>SUM(G10,G13,G16,G19,G22,G25,G28,G46,G31,G34,G37,G40,G43)</f>
        <v>104311.2</v>
      </c>
    </row>
    <row r="53" spans="1:10" s="40" customFormat="1" ht="12" x14ac:dyDescent="0.2">
      <c r="A53" s="385"/>
      <c r="B53" s="385"/>
      <c r="C53" s="385"/>
      <c r="D53" s="135">
        <f t="shared" ref="D53:G53" si="1">D52/$C$49</f>
        <v>0.20627889931914556</v>
      </c>
      <c r="E53" s="135">
        <f t="shared" si="1"/>
        <v>0.30730908532371565</v>
      </c>
      <c r="F53" s="135">
        <f t="shared" si="1"/>
        <v>0.28367921801664542</v>
      </c>
      <c r="G53" s="135">
        <f t="shared" si="1"/>
        <v>0.20273279734049349</v>
      </c>
    </row>
    <row r="54" spans="1:10" s="10" customFormat="1" x14ac:dyDescent="0.2">
      <c r="A54" s="136"/>
      <c r="B54" s="137"/>
      <c r="C54" s="138"/>
      <c r="D54" s="37"/>
      <c r="E54" s="74"/>
      <c r="F54" s="77"/>
      <c r="G54" s="74"/>
    </row>
    <row r="55" spans="1:10" s="40" customFormat="1" x14ac:dyDescent="0.2">
      <c r="A55" s="385" t="s">
        <v>87</v>
      </c>
      <c r="B55" s="385"/>
      <c r="C55" s="385"/>
      <c r="D55" s="134">
        <f>D52</f>
        <v>106135.76</v>
      </c>
      <c r="E55" s="134">
        <f>E52+D55</f>
        <v>264254.13</v>
      </c>
      <c r="F55" s="134">
        <f t="shared" ref="F55:G55" si="2">F52+E55</f>
        <v>410214.33</v>
      </c>
      <c r="G55" s="134">
        <f t="shared" si="2"/>
        <v>514525.53</v>
      </c>
    </row>
    <row r="56" spans="1:10" s="40" customFormat="1" ht="12" x14ac:dyDescent="0.2">
      <c r="A56" s="385"/>
      <c r="B56" s="385"/>
      <c r="C56" s="385"/>
      <c r="D56" s="135">
        <f t="shared" ref="D56:G56" si="3">D55/$C$49</f>
        <v>0.20627889931914556</v>
      </c>
      <c r="E56" s="135">
        <f t="shared" si="3"/>
        <v>0.51358798464286115</v>
      </c>
      <c r="F56" s="135">
        <f t="shared" si="3"/>
        <v>0.79726720265950657</v>
      </c>
      <c r="G56" s="135">
        <f t="shared" si="3"/>
        <v>1.0000000000000002</v>
      </c>
    </row>
    <row r="57" spans="1:10" s="40" customFormat="1" x14ac:dyDescent="0.2">
      <c r="A57" s="44"/>
      <c r="B57" s="139"/>
      <c r="C57" s="139"/>
      <c r="F57" s="78"/>
    </row>
    <row r="58" spans="1:10" s="79" customFormat="1" ht="22.5" customHeight="1" x14ac:dyDescent="0.2">
      <c r="A58" s="378" t="s">
        <v>23</v>
      </c>
      <c r="B58" s="378"/>
      <c r="C58" s="378"/>
      <c r="D58" s="379">
        <f>SUM(D52:G52)</f>
        <v>514525.53</v>
      </c>
      <c r="E58" s="379"/>
      <c r="F58" s="379"/>
      <c r="G58" s="379"/>
      <c r="I58" s="80">
        <f>C49</f>
        <v>514525.52999999997</v>
      </c>
      <c r="J58" s="81">
        <f>D58-I58</f>
        <v>0</v>
      </c>
    </row>
    <row r="59" spans="1:10" x14ac:dyDescent="0.2">
      <c r="I59" s="82"/>
    </row>
    <row r="60" spans="1:10" x14ac:dyDescent="0.2">
      <c r="C60" s="83">
        <f>C49/12</f>
        <v>42877.127499999995</v>
      </c>
      <c r="D60" s="84"/>
      <c r="E60" s="84"/>
      <c r="F60" s="84"/>
      <c r="G60" s="84"/>
      <c r="I60" s="81" t="s">
        <v>53</v>
      </c>
      <c r="J60" s="85">
        <f>I58/12</f>
        <v>42877.127499999995</v>
      </c>
    </row>
  </sheetData>
  <mergeCells count="11">
    <mergeCell ref="A58:C58"/>
    <mergeCell ref="D58:G58"/>
    <mergeCell ref="A1:G1"/>
    <mergeCell ref="A7:A8"/>
    <mergeCell ref="B7:B8"/>
    <mergeCell ref="C7:C8"/>
    <mergeCell ref="D7:G7"/>
    <mergeCell ref="A49:B50"/>
    <mergeCell ref="A52:C53"/>
    <mergeCell ref="A55:C56"/>
    <mergeCell ref="B3:G3"/>
  </mergeCells>
  <phoneticPr fontId="7" type="noConversion"/>
  <printOptions horizontalCentered="1"/>
  <pageMargins left="0.39370078740157483" right="0.39370078740157483" top="0.98425196850393704" bottom="0.39370078740157483" header="3.937007874015748E-2" footer="0.19685039370078741"/>
  <pageSetup paperSize="9" fitToHeight="0" orientation="portrait" horizontalDpi="300" verticalDpi="300" r:id="rId1"/>
  <headerFooter>
    <oddHeader>&amp;L&amp;G&amp;R&amp;G</oddHeader>
    <oddFooter>&amp;C&amp;G&amp;R&amp;"Arial,Normal"&amp;8Pág.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9300-AF94-4CAF-B7DA-55BC884B0F6F}">
  <sheetPr>
    <tabColor rgb="FF00B050"/>
  </sheetPr>
  <dimension ref="A1:G50"/>
  <sheetViews>
    <sheetView tabSelected="1" view="pageBreakPreview" topLeftCell="A40" zoomScale="130" zoomScaleNormal="100" zoomScaleSheetLayoutView="130" workbookViewId="0">
      <selection activeCell="N15" sqref="N15"/>
    </sheetView>
  </sheetViews>
  <sheetFormatPr defaultRowHeight="15" x14ac:dyDescent="0.25"/>
  <cols>
    <col min="1" max="1" width="10.140625" customWidth="1"/>
    <col min="2" max="2" width="63" customWidth="1"/>
    <col min="3" max="5" width="0" hidden="1" customWidth="1"/>
    <col min="6" max="6" width="16.85546875" customWidth="1"/>
    <col min="7" max="7" width="19.7109375" customWidth="1"/>
  </cols>
  <sheetData>
    <row r="1" spans="1:7" ht="18" x14ac:dyDescent="0.25">
      <c r="A1" s="365" t="s">
        <v>573</v>
      </c>
      <c r="B1" s="366"/>
      <c r="C1" s="366"/>
      <c r="D1" s="366"/>
      <c r="E1" s="366"/>
      <c r="F1" s="366"/>
      <c r="G1" s="367"/>
    </row>
    <row r="2" spans="1:7" ht="18" x14ac:dyDescent="0.25">
      <c r="A2" s="368" t="s">
        <v>574</v>
      </c>
      <c r="B2" s="369"/>
      <c r="C2" s="369"/>
      <c r="D2" s="369"/>
      <c r="E2" s="369"/>
      <c r="F2" s="369"/>
      <c r="G2" s="370"/>
    </row>
    <row r="3" spans="1:7" ht="15.75" x14ac:dyDescent="0.25">
      <c r="A3" s="371"/>
      <c r="B3" s="372"/>
      <c r="C3" s="372"/>
      <c r="D3" s="372"/>
      <c r="E3" s="372"/>
      <c r="F3" s="372"/>
      <c r="G3" s="373"/>
    </row>
    <row r="4" spans="1:7" ht="15.75" x14ac:dyDescent="0.25">
      <c r="A4" s="281"/>
      <c r="B4" s="281"/>
      <c r="C4" s="282"/>
      <c r="D4" s="282"/>
      <c r="E4" s="283"/>
      <c r="F4" s="283"/>
      <c r="G4" s="283"/>
    </row>
    <row r="5" spans="1:7" ht="16.5" x14ac:dyDescent="0.3">
      <c r="A5" s="284" t="str">
        <f>Orçamento!A3</f>
        <v>OBRA: AMPLIAÇÃO DA ESCOLA MUNICIPAL EPAMINONDAS MENDONÇA - ITEM 01</v>
      </c>
      <c r="B5" s="285"/>
      <c r="C5" s="286"/>
      <c r="D5" s="286"/>
      <c r="E5" s="287"/>
      <c r="F5" s="287"/>
      <c r="G5" s="287"/>
    </row>
    <row r="6" spans="1:7" ht="16.5" x14ac:dyDescent="0.3">
      <c r="A6" s="284" t="str">
        <f>Orçamento!A4</f>
        <v>LOCAL: DISTRITO FAZENDA NOVA- BREJO MADRE DE DEUS/PE.</v>
      </c>
      <c r="B6" s="285"/>
      <c r="C6" s="286"/>
      <c r="D6" s="286"/>
      <c r="E6" s="287"/>
      <c r="F6" s="287"/>
      <c r="G6" s="287"/>
    </row>
    <row r="7" spans="1:7" ht="16.5" x14ac:dyDescent="0.3">
      <c r="A7" s="284" t="str">
        <f>Orçamento!A6</f>
        <v>DATA BASE: AGOSTO/2024</v>
      </c>
      <c r="B7" s="285"/>
      <c r="C7" s="286"/>
      <c r="D7" s="286"/>
      <c r="E7" s="287"/>
      <c r="F7" s="287"/>
      <c r="G7" s="287"/>
    </row>
    <row r="8" spans="1:7" ht="16.5" x14ac:dyDescent="0.3">
      <c r="A8" s="284"/>
      <c r="B8" s="285"/>
      <c r="C8" s="285"/>
      <c r="D8" s="285"/>
      <c r="E8" s="285"/>
      <c r="F8" s="288"/>
      <c r="G8" s="288"/>
    </row>
    <row r="9" spans="1:7" ht="16.5" x14ac:dyDescent="0.3">
      <c r="A9" s="374" t="s">
        <v>18</v>
      </c>
      <c r="B9" s="374" t="s">
        <v>2</v>
      </c>
      <c r="C9" s="376" t="s">
        <v>575</v>
      </c>
      <c r="D9" s="377"/>
      <c r="E9" s="289"/>
      <c r="F9" s="376" t="s">
        <v>576</v>
      </c>
      <c r="G9" s="377"/>
    </row>
    <row r="10" spans="1:7" ht="33" x14ac:dyDescent="0.3">
      <c r="A10" s="375"/>
      <c r="B10" s="375"/>
      <c r="C10" s="290" t="s">
        <v>577</v>
      </c>
      <c r="D10" s="290" t="s">
        <v>578</v>
      </c>
      <c r="E10" s="291"/>
      <c r="F10" s="290" t="s">
        <v>577</v>
      </c>
      <c r="G10" s="290" t="s">
        <v>578</v>
      </c>
    </row>
    <row r="11" spans="1:7" x14ac:dyDescent="0.25">
      <c r="A11" s="292"/>
      <c r="B11" s="293"/>
      <c r="C11" s="292"/>
      <c r="D11" s="293"/>
      <c r="E11" s="294"/>
      <c r="F11" s="293"/>
      <c r="G11" s="293"/>
    </row>
    <row r="12" spans="1:7" ht="16.5" x14ac:dyDescent="0.3">
      <c r="A12" s="360" t="s">
        <v>579</v>
      </c>
      <c r="B12" s="361"/>
      <c r="C12" s="361"/>
      <c r="D12" s="362"/>
      <c r="E12" s="295"/>
      <c r="F12" s="296"/>
      <c r="G12" s="297"/>
    </row>
    <row r="13" spans="1:7" ht="16.5" x14ac:dyDescent="0.3">
      <c r="A13" s="298" t="s">
        <v>501</v>
      </c>
      <c r="B13" s="299" t="s">
        <v>580</v>
      </c>
      <c r="C13" s="300">
        <v>0</v>
      </c>
      <c r="D13" s="300">
        <v>0</v>
      </c>
      <c r="E13" s="301"/>
      <c r="F13" s="300">
        <v>20</v>
      </c>
      <c r="G13" s="300">
        <v>20</v>
      </c>
    </row>
    <row r="14" spans="1:7" ht="16.5" x14ac:dyDescent="0.3">
      <c r="A14" s="298" t="s">
        <v>502</v>
      </c>
      <c r="B14" s="299" t="s">
        <v>581</v>
      </c>
      <c r="C14" s="300">
        <v>1.5</v>
      </c>
      <c r="D14" s="300">
        <v>1.5</v>
      </c>
      <c r="E14" s="301"/>
      <c r="F14" s="300">
        <v>1.5</v>
      </c>
      <c r="G14" s="300">
        <v>1.5</v>
      </c>
    </row>
    <row r="15" spans="1:7" ht="16.5" x14ac:dyDescent="0.3">
      <c r="A15" s="298" t="s">
        <v>582</v>
      </c>
      <c r="B15" s="299" t="s">
        <v>583</v>
      </c>
      <c r="C15" s="300">
        <v>1</v>
      </c>
      <c r="D15" s="300">
        <v>1</v>
      </c>
      <c r="E15" s="301"/>
      <c r="F15" s="300">
        <v>1</v>
      </c>
      <c r="G15" s="300">
        <v>1</v>
      </c>
    </row>
    <row r="16" spans="1:7" ht="16.5" x14ac:dyDescent="0.3">
      <c r="A16" s="298" t="s">
        <v>584</v>
      </c>
      <c r="B16" s="299" t="s">
        <v>585</v>
      </c>
      <c r="C16" s="300">
        <v>0.2</v>
      </c>
      <c r="D16" s="300">
        <v>0.2</v>
      </c>
      <c r="E16" s="301"/>
      <c r="F16" s="300">
        <v>0.2</v>
      </c>
      <c r="G16" s="300">
        <v>0.2</v>
      </c>
    </row>
    <row r="17" spans="1:7" ht="16.5" x14ac:dyDescent="0.3">
      <c r="A17" s="298" t="s">
        <v>586</v>
      </c>
      <c r="B17" s="299" t="s">
        <v>587</v>
      </c>
      <c r="C17" s="300">
        <v>0.6</v>
      </c>
      <c r="D17" s="300">
        <v>0.6</v>
      </c>
      <c r="E17" s="301"/>
      <c r="F17" s="300">
        <v>0.6</v>
      </c>
      <c r="G17" s="300">
        <v>0.6</v>
      </c>
    </row>
    <row r="18" spans="1:7" ht="16.5" x14ac:dyDescent="0.3">
      <c r="A18" s="298" t="s">
        <v>588</v>
      </c>
      <c r="B18" s="299" t="s">
        <v>589</v>
      </c>
      <c r="C18" s="300">
        <v>2.5</v>
      </c>
      <c r="D18" s="300">
        <v>2.5</v>
      </c>
      <c r="E18" s="301"/>
      <c r="F18" s="300">
        <v>2.5</v>
      </c>
      <c r="G18" s="300">
        <v>2.5</v>
      </c>
    </row>
    <row r="19" spans="1:7" ht="16.5" x14ac:dyDescent="0.3">
      <c r="A19" s="298" t="s">
        <v>590</v>
      </c>
      <c r="B19" s="299" t="s">
        <v>591</v>
      </c>
      <c r="C19" s="300">
        <v>3</v>
      </c>
      <c r="D19" s="300">
        <v>3</v>
      </c>
      <c r="E19" s="301"/>
      <c r="F19" s="300">
        <v>3</v>
      </c>
      <c r="G19" s="300">
        <v>3</v>
      </c>
    </row>
    <row r="20" spans="1:7" ht="16.5" x14ac:dyDescent="0.3">
      <c r="A20" s="298" t="s">
        <v>592</v>
      </c>
      <c r="B20" s="299" t="s">
        <v>593</v>
      </c>
      <c r="C20" s="300">
        <v>8</v>
      </c>
      <c r="D20" s="300">
        <v>8</v>
      </c>
      <c r="E20" s="301"/>
      <c r="F20" s="300">
        <v>8</v>
      </c>
      <c r="G20" s="300">
        <v>8</v>
      </c>
    </row>
    <row r="21" spans="1:7" ht="16.5" x14ac:dyDescent="0.3">
      <c r="A21" s="298" t="s">
        <v>594</v>
      </c>
      <c r="B21" s="299" t="s">
        <v>595</v>
      </c>
      <c r="C21" s="300">
        <v>0</v>
      </c>
      <c r="D21" s="300">
        <v>0</v>
      </c>
      <c r="E21" s="301"/>
      <c r="F21" s="300">
        <v>0</v>
      </c>
      <c r="G21" s="300">
        <v>0</v>
      </c>
    </row>
    <row r="22" spans="1:7" ht="16.5" x14ac:dyDescent="0.3">
      <c r="A22" s="302" t="s">
        <v>569</v>
      </c>
      <c r="B22" s="302" t="s">
        <v>7</v>
      </c>
      <c r="C22" s="303">
        <f>SUM(C13:C21)</f>
        <v>16.8</v>
      </c>
      <c r="D22" s="303">
        <f>SUM(D13:D21)</f>
        <v>16.8</v>
      </c>
      <c r="E22" s="304"/>
      <c r="F22" s="303">
        <f>SUM(F13:F21)</f>
        <v>36.799999999999997</v>
      </c>
      <c r="G22" s="303">
        <f>SUM(G13:G21)</f>
        <v>36.799999999999997</v>
      </c>
    </row>
    <row r="23" spans="1:7" x14ac:dyDescent="0.25">
      <c r="A23" s="298"/>
      <c r="B23" s="299"/>
      <c r="C23" s="300"/>
      <c r="D23" s="300"/>
      <c r="E23" s="305"/>
      <c r="F23" s="300"/>
      <c r="G23" s="300"/>
    </row>
    <row r="24" spans="1:7" ht="16.5" x14ac:dyDescent="0.3">
      <c r="A24" s="360" t="s">
        <v>596</v>
      </c>
      <c r="B24" s="361"/>
      <c r="C24" s="361"/>
      <c r="D24" s="362"/>
      <c r="E24" s="295"/>
      <c r="F24" s="296"/>
      <c r="G24" s="297"/>
    </row>
    <row r="25" spans="1:7" ht="16.5" x14ac:dyDescent="0.3">
      <c r="A25" s="298" t="s">
        <v>597</v>
      </c>
      <c r="B25" s="299" t="s">
        <v>598</v>
      </c>
      <c r="C25" s="300">
        <v>18.059999999999999</v>
      </c>
      <c r="D25" s="300">
        <v>0</v>
      </c>
      <c r="E25" s="301"/>
      <c r="F25" s="300">
        <v>18.059999999999999</v>
      </c>
      <c r="G25" s="300">
        <v>0</v>
      </c>
    </row>
    <row r="26" spans="1:7" ht="16.5" x14ac:dyDescent="0.3">
      <c r="A26" s="298" t="s">
        <v>599</v>
      </c>
      <c r="B26" s="299" t="s">
        <v>600</v>
      </c>
      <c r="C26" s="300">
        <v>4.33</v>
      </c>
      <c r="D26" s="300">
        <v>0</v>
      </c>
      <c r="E26" s="301"/>
      <c r="F26" s="300">
        <v>4.33</v>
      </c>
      <c r="G26" s="300">
        <v>0</v>
      </c>
    </row>
    <row r="27" spans="1:7" ht="16.5" x14ac:dyDescent="0.3">
      <c r="A27" s="298" t="s">
        <v>601</v>
      </c>
      <c r="B27" s="299" t="s">
        <v>602</v>
      </c>
      <c r="C27" s="300">
        <v>0.87</v>
      </c>
      <c r="D27" s="300">
        <v>0.66</v>
      </c>
      <c r="E27" s="301"/>
      <c r="F27" s="300">
        <v>0.87</v>
      </c>
      <c r="G27" s="300">
        <v>0.66</v>
      </c>
    </row>
    <row r="28" spans="1:7" ht="16.5" x14ac:dyDescent="0.3">
      <c r="A28" s="298" t="s">
        <v>603</v>
      </c>
      <c r="B28" s="299" t="s">
        <v>604</v>
      </c>
      <c r="C28" s="300">
        <v>11.01</v>
      </c>
      <c r="D28" s="300">
        <v>8.33</v>
      </c>
      <c r="E28" s="301"/>
      <c r="F28" s="300">
        <v>11.01</v>
      </c>
      <c r="G28" s="300">
        <v>8.33</v>
      </c>
    </row>
    <row r="29" spans="1:7" ht="16.5" x14ac:dyDescent="0.3">
      <c r="A29" s="298" t="s">
        <v>605</v>
      </c>
      <c r="B29" s="299" t="s">
        <v>606</v>
      </c>
      <c r="C29" s="300">
        <v>7.0000000000000007E-2</v>
      </c>
      <c r="D29" s="300">
        <v>0.05</v>
      </c>
      <c r="E29" s="301"/>
      <c r="F29" s="300">
        <v>7.0000000000000007E-2</v>
      </c>
      <c r="G29" s="300">
        <v>0.05</v>
      </c>
    </row>
    <row r="30" spans="1:7" ht="16.5" x14ac:dyDescent="0.3">
      <c r="A30" s="298" t="s">
        <v>607</v>
      </c>
      <c r="B30" s="299" t="s">
        <v>608</v>
      </c>
      <c r="C30" s="300">
        <v>0.73</v>
      </c>
      <c r="D30" s="300">
        <v>0.56000000000000005</v>
      </c>
      <c r="E30" s="301"/>
      <c r="F30" s="300">
        <v>0.73</v>
      </c>
      <c r="G30" s="300">
        <v>0.56000000000000005</v>
      </c>
    </row>
    <row r="31" spans="1:7" ht="16.5" x14ac:dyDescent="0.3">
      <c r="A31" s="298" t="s">
        <v>609</v>
      </c>
      <c r="B31" s="299" t="s">
        <v>610</v>
      </c>
      <c r="C31" s="300">
        <v>2.2400000000000002</v>
      </c>
      <c r="D31" s="300">
        <v>0</v>
      </c>
      <c r="E31" s="301"/>
      <c r="F31" s="300">
        <v>2.2400000000000002</v>
      </c>
      <c r="G31" s="300">
        <v>0</v>
      </c>
    </row>
    <row r="32" spans="1:7" ht="16.5" x14ac:dyDescent="0.3">
      <c r="A32" s="298" t="s">
        <v>611</v>
      </c>
      <c r="B32" s="299" t="s">
        <v>612</v>
      </c>
      <c r="C32" s="300">
        <v>0.11</v>
      </c>
      <c r="D32" s="300">
        <v>0.08</v>
      </c>
      <c r="E32" s="301"/>
      <c r="F32" s="300">
        <v>0.11</v>
      </c>
      <c r="G32" s="300">
        <v>0.08</v>
      </c>
    </row>
    <row r="33" spans="1:7" ht="16.5" x14ac:dyDescent="0.3">
      <c r="A33" s="298" t="s">
        <v>613</v>
      </c>
      <c r="B33" s="299" t="s">
        <v>614</v>
      </c>
      <c r="C33" s="300">
        <v>10.11</v>
      </c>
      <c r="D33" s="300">
        <v>7.66</v>
      </c>
      <c r="E33" s="301"/>
      <c r="F33" s="300">
        <v>10.11</v>
      </c>
      <c r="G33" s="300">
        <v>7.66</v>
      </c>
    </row>
    <row r="34" spans="1:7" ht="16.5" x14ac:dyDescent="0.3">
      <c r="A34" s="298" t="s">
        <v>615</v>
      </c>
      <c r="B34" s="299" t="s">
        <v>616</v>
      </c>
      <c r="C34" s="300">
        <v>0.04</v>
      </c>
      <c r="D34" s="300">
        <v>0.03</v>
      </c>
      <c r="E34" s="301"/>
      <c r="F34" s="300">
        <v>0.04</v>
      </c>
      <c r="G34" s="300">
        <v>0.03</v>
      </c>
    </row>
    <row r="35" spans="1:7" ht="16.5" x14ac:dyDescent="0.3">
      <c r="A35" s="302" t="s">
        <v>570</v>
      </c>
      <c r="B35" s="302" t="s">
        <v>7</v>
      </c>
      <c r="C35" s="303">
        <f>SUM(C25:C34)</f>
        <v>47.57</v>
      </c>
      <c r="D35" s="303">
        <f>SUM(D25:D34)</f>
        <v>17.370000000000005</v>
      </c>
      <c r="E35" s="304"/>
      <c r="F35" s="303">
        <f>SUM(F25:F34)</f>
        <v>47.57</v>
      </c>
      <c r="G35" s="303">
        <f>SUM(G25:G34)</f>
        <v>17.370000000000005</v>
      </c>
    </row>
    <row r="36" spans="1:7" x14ac:dyDescent="0.25">
      <c r="A36" s="298"/>
      <c r="B36" s="299"/>
      <c r="C36" s="300"/>
      <c r="D36" s="300"/>
      <c r="E36" s="305"/>
      <c r="F36" s="300"/>
      <c r="G36" s="300"/>
    </row>
    <row r="37" spans="1:7" ht="16.5" x14ac:dyDescent="0.3">
      <c r="A37" s="360" t="s">
        <v>617</v>
      </c>
      <c r="B37" s="361"/>
      <c r="C37" s="361"/>
      <c r="D37" s="362"/>
      <c r="E37" s="295"/>
      <c r="F37" s="296"/>
      <c r="G37" s="297"/>
    </row>
    <row r="38" spans="1:7" ht="16.5" x14ac:dyDescent="0.3">
      <c r="A38" s="298" t="s">
        <v>497</v>
      </c>
      <c r="B38" s="299" t="s">
        <v>618</v>
      </c>
      <c r="C38" s="300">
        <v>5.23</v>
      </c>
      <c r="D38" s="300">
        <v>3.91</v>
      </c>
      <c r="E38" s="301"/>
      <c r="F38" s="300">
        <v>5.3</v>
      </c>
      <c r="G38" s="300">
        <v>3.95</v>
      </c>
    </row>
    <row r="39" spans="1:7" ht="16.5" x14ac:dyDescent="0.3">
      <c r="A39" s="298" t="s">
        <v>499</v>
      </c>
      <c r="B39" s="299" t="s">
        <v>619</v>
      </c>
      <c r="C39" s="300">
        <v>0.11</v>
      </c>
      <c r="D39" s="300">
        <v>0.09</v>
      </c>
      <c r="E39" s="301"/>
      <c r="F39" s="300">
        <v>0.11</v>
      </c>
      <c r="G39" s="300">
        <v>0.09</v>
      </c>
    </row>
    <row r="40" spans="1:7" ht="16.5" x14ac:dyDescent="0.3">
      <c r="A40" s="298" t="s">
        <v>620</v>
      </c>
      <c r="B40" s="299" t="s">
        <v>621</v>
      </c>
      <c r="C40" s="300">
        <v>2.78</v>
      </c>
      <c r="D40" s="300">
        <v>2.38</v>
      </c>
      <c r="E40" s="301"/>
      <c r="F40" s="300">
        <v>2.8</v>
      </c>
      <c r="G40" s="300">
        <v>2.44</v>
      </c>
    </row>
    <row r="41" spans="1:7" ht="16.5" x14ac:dyDescent="0.3">
      <c r="A41" s="298" t="s">
        <v>622</v>
      </c>
      <c r="B41" s="299" t="s">
        <v>623</v>
      </c>
      <c r="C41" s="300">
        <v>3.03</v>
      </c>
      <c r="D41" s="300">
        <v>2.2999999999999998</v>
      </c>
      <c r="E41" s="301"/>
      <c r="F41" s="300">
        <v>3.03</v>
      </c>
      <c r="G41" s="300">
        <v>2.2999999999999998</v>
      </c>
    </row>
    <row r="42" spans="1:7" ht="16.5" x14ac:dyDescent="0.3">
      <c r="A42" s="298" t="s">
        <v>624</v>
      </c>
      <c r="B42" s="299" t="s">
        <v>625</v>
      </c>
      <c r="C42" s="300">
        <v>0.4</v>
      </c>
      <c r="D42" s="300">
        <v>0.31</v>
      </c>
      <c r="E42" s="301"/>
      <c r="F42" s="300">
        <v>0.4</v>
      </c>
      <c r="G42" s="300">
        <v>0.31</v>
      </c>
    </row>
    <row r="43" spans="1:7" ht="16.5" x14ac:dyDescent="0.3">
      <c r="A43" s="302" t="s">
        <v>571</v>
      </c>
      <c r="B43" s="302" t="s">
        <v>7</v>
      </c>
      <c r="C43" s="303">
        <f>SUM(C38:C42)</f>
        <v>11.55</v>
      </c>
      <c r="D43" s="303">
        <f>SUM(D38:D42)</f>
        <v>8.99</v>
      </c>
      <c r="E43" s="304"/>
      <c r="F43" s="303">
        <f>SUM(F38:F42)</f>
        <v>11.64</v>
      </c>
      <c r="G43" s="303">
        <f>SUM(G38:G42)</f>
        <v>9.0900000000000016</v>
      </c>
    </row>
    <row r="44" spans="1:7" x14ac:dyDescent="0.25">
      <c r="A44" s="298"/>
      <c r="B44" s="299"/>
      <c r="C44" s="300"/>
      <c r="D44" s="300"/>
      <c r="E44" s="305"/>
      <c r="F44" s="300"/>
      <c r="G44" s="300"/>
    </row>
    <row r="45" spans="1:7" ht="16.5" x14ac:dyDescent="0.3">
      <c r="A45" s="360" t="s">
        <v>626</v>
      </c>
      <c r="B45" s="361"/>
      <c r="C45" s="361"/>
      <c r="D45" s="362"/>
      <c r="E45" s="295"/>
      <c r="F45" s="296"/>
      <c r="G45" s="297"/>
    </row>
    <row r="46" spans="1:7" ht="16.5" x14ac:dyDescent="0.3">
      <c r="A46" s="298" t="s">
        <v>627</v>
      </c>
      <c r="B46" s="299" t="s">
        <v>628</v>
      </c>
      <c r="C46" s="300">
        <f>ROUND((C22*C35)/100,2)</f>
        <v>7.99</v>
      </c>
      <c r="D46" s="300">
        <f>ROUND((D22*D35)/100,2)</f>
        <v>2.92</v>
      </c>
      <c r="E46" s="301"/>
      <c r="F46" s="300">
        <f>ROUND((F22*F35)/100,2)</f>
        <v>17.510000000000002</v>
      </c>
      <c r="G46" s="300">
        <f>ROUND((G22*G35)/100,2)</f>
        <v>6.39</v>
      </c>
    </row>
    <row r="47" spans="1:7" ht="27" x14ac:dyDescent="0.3">
      <c r="A47" s="298" t="s">
        <v>629</v>
      </c>
      <c r="B47" s="306" t="s">
        <v>630</v>
      </c>
      <c r="C47" s="300">
        <f>ROUND(((C22*C39)/100)+((C20*C38)/100),2)</f>
        <v>0.44</v>
      </c>
      <c r="D47" s="300">
        <f>ROUND(((D22*D39)/100)+((D20*D38)/100),2)</f>
        <v>0.33</v>
      </c>
      <c r="E47" s="301"/>
      <c r="F47" s="300">
        <f>ROUND(((F22*F39)/100)+((F20*F38)/100),2)</f>
        <v>0.46</v>
      </c>
      <c r="G47" s="300">
        <f>ROUND(((G22*G39)/100)+((G20*G38)/100),2)</f>
        <v>0.35</v>
      </c>
    </row>
    <row r="48" spans="1:7" ht="16.5" x14ac:dyDescent="0.3">
      <c r="A48" s="302" t="s">
        <v>631</v>
      </c>
      <c r="B48" s="302" t="s">
        <v>7</v>
      </c>
      <c r="C48" s="303">
        <f>SUM(C46:C47)</f>
        <v>8.43</v>
      </c>
      <c r="D48" s="303">
        <f>SUM(D46:D47)</f>
        <v>3.25</v>
      </c>
      <c r="E48" s="304"/>
      <c r="F48" s="303">
        <f>SUM(F46:F47)</f>
        <v>17.970000000000002</v>
      </c>
      <c r="G48" s="303">
        <f>SUM(G46:G47)</f>
        <v>6.7399999999999993</v>
      </c>
    </row>
    <row r="49" spans="1:7" x14ac:dyDescent="0.25">
      <c r="A49" s="298"/>
      <c r="B49" s="299"/>
      <c r="C49" s="300"/>
      <c r="D49" s="300"/>
      <c r="E49" s="305"/>
      <c r="F49" s="300"/>
      <c r="G49" s="300"/>
    </row>
    <row r="50" spans="1:7" ht="17.25" x14ac:dyDescent="0.3">
      <c r="A50" s="363" t="s">
        <v>632</v>
      </c>
      <c r="B50" s="364"/>
      <c r="C50" s="307">
        <f>C22+C35+C43+C48</f>
        <v>84.35</v>
      </c>
      <c r="D50" s="307">
        <f>D22+D35+D43+D48</f>
        <v>46.410000000000004</v>
      </c>
      <c r="E50" s="308"/>
      <c r="F50" s="309">
        <f>F22+F35+F43+F48</f>
        <v>113.98</v>
      </c>
      <c r="G50" s="309">
        <f>G22+G35+G43+G48</f>
        <v>70</v>
      </c>
    </row>
  </sheetData>
  <mergeCells count="12">
    <mergeCell ref="A1:G1"/>
    <mergeCell ref="A2:G2"/>
    <mergeCell ref="A3:G3"/>
    <mergeCell ref="A9:A10"/>
    <mergeCell ref="B9:B10"/>
    <mergeCell ref="C9:D9"/>
    <mergeCell ref="F9:G9"/>
    <mergeCell ref="A12:D12"/>
    <mergeCell ref="A24:D24"/>
    <mergeCell ref="A37:D37"/>
    <mergeCell ref="A45:D45"/>
    <mergeCell ref="A50:B50"/>
  </mergeCells>
  <pageMargins left="0.51181102362204722" right="0.51181102362204722" top="1.3779527559055118" bottom="0.78740157480314965" header="0.31496062992125984" footer="0.31496062992125984"/>
  <pageSetup paperSize="9" scale="84" orientation="portrait" horizontalDpi="4294967292" verticalDpi="300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view="pageBreakPreview" topLeftCell="A19" zoomScaleSheetLayoutView="100" workbookViewId="0">
      <selection activeCell="B7" sqref="B7:D7"/>
    </sheetView>
  </sheetViews>
  <sheetFormatPr defaultRowHeight="15" x14ac:dyDescent="0.25"/>
  <cols>
    <col min="1" max="1" width="1.140625" customWidth="1"/>
    <col min="2" max="2" width="75.7109375" customWidth="1"/>
    <col min="3" max="3" width="10.140625" style="121" bestFit="1" customWidth="1"/>
    <col min="4" max="4" width="12" style="121" customWidth="1"/>
    <col min="5" max="5" width="11.42578125" customWidth="1"/>
    <col min="6" max="6" width="62.5703125" customWidth="1"/>
  </cols>
  <sheetData>
    <row r="1" spans="2:6" s="87" customFormat="1" ht="6.75" customHeight="1" x14ac:dyDescent="0.2">
      <c r="C1" s="88"/>
      <c r="D1" s="88"/>
    </row>
    <row r="2" spans="2:6" s="87" customFormat="1" ht="18.75" x14ac:dyDescent="0.3">
      <c r="B2" s="391" t="s">
        <v>58</v>
      </c>
      <c r="C2" s="391"/>
      <c r="D2" s="391"/>
    </row>
    <row r="3" spans="2:6" s="90" customFormat="1" ht="11.25" x14ac:dyDescent="0.2">
      <c r="B3" s="89"/>
      <c r="C3" s="89"/>
      <c r="D3" s="89"/>
    </row>
    <row r="4" spans="2:6" s="87" customFormat="1" ht="16.5" x14ac:dyDescent="0.3">
      <c r="B4" s="392" t="s">
        <v>284</v>
      </c>
      <c r="C4" s="392"/>
      <c r="D4" s="392"/>
    </row>
    <row r="5" spans="2:6" s="87" customFormat="1" ht="12.75" x14ac:dyDescent="0.2">
      <c r="B5" s="91"/>
      <c r="C5" s="91"/>
      <c r="D5" s="91"/>
    </row>
    <row r="6" spans="2:6" s="1" customFormat="1" ht="30" customHeight="1" x14ac:dyDescent="0.25">
      <c r="B6" s="393" t="str">
        <f>Orçamento!A3</f>
        <v>OBRA: AMPLIAÇÃO DA ESCOLA MUNICIPAL EPAMINONDAS MENDONÇA - ITEM 01</v>
      </c>
      <c r="C6" s="393"/>
      <c r="D6" s="393"/>
    </row>
    <row r="7" spans="2:6" s="1" customFormat="1" x14ac:dyDescent="0.25">
      <c r="B7" s="393" t="e">
        <f>#REF!</f>
        <v>#REF!</v>
      </c>
      <c r="C7" s="393"/>
      <c r="D7" s="393"/>
    </row>
    <row r="8" spans="2:6" s="1" customFormat="1" x14ac:dyDescent="0.2">
      <c r="B8" s="394" t="e">
        <f>#REF!</f>
        <v>#REF!</v>
      </c>
      <c r="C8" s="394"/>
      <c r="D8" s="394"/>
    </row>
    <row r="9" spans="2:6" s="87" customFormat="1" ht="12.75" x14ac:dyDescent="0.2">
      <c r="B9" s="92"/>
      <c r="C9" s="93"/>
      <c r="D9" s="93"/>
    </row>
    <row r="10" spans="2:6" s="87" customFormat="1" ht="22.5" customHeight="1" x14ac:dyDescent="0.25">
      <c r="B10" s="94" t="s">
        <v>59</v>
      </c>
      <c r="C10" s="95" t="s">
        <v>60</v>
      </c>
      <c r="D10" s="95" t="s">
        <v>61</v>
      </c>
      <c r="F10" s="96" t="s">
        <v>62</v>
      </c>
    </row>
    <row r="11" spans="2:6" s="87" customFormat="1" x14ac:dyDescent="0.25">
      <c r="B11" s="97"/>
      <c r="C11" s="98"/>
      <c r="D11" s="98"/>
    </row>
    <row r="12" spans="2:6" s="87" customFormat="1" x14ac:dyDescent="0.25">
      <c r="B12" s="99" t="s">
        <v>63</v>
      </c>
      <c r="C12" s="100" t="s">
        <v>64</v>
      </c>
      <c r="D12" s="101">
        <v>0.04</v>
      </c>
      <c r="E12" s="87" t="s">
        <v>88</v>
      </c>
      <c r="F12" s="102" t="s">
        <v>285</v>
      </c>
    </row>
    <row r="13" spans="2:6" s="87" customFormat="1" x14ac:dyDescent="0.25">
      <c r="B13" s="99"/>
      <c r="C13" s="100"/>
      <c r="D13" s="103"/>
    </row>
    <row r="14" spans="2:6" s="87" customFormat="1" x14ac:dyDescent="0.25">
      <c r="B14" s="99" t="s">
        <v>65</v>
      </c>
      <c r="C14" s="100" t="s">
        <v>66</v>
      </c>
      <c r="D14" s="101">
        <v>1.23E-2</v>
      </c>
      <c r="E14" s="87" t="s">
        <v>88</v>
      </c>
      <c r="F14" s="102" t="s">
        <v>286</v>
      </c>
    </row>
    <row r="15" spans="2:6" s="87" customFormat="1" x14ac:dyDescent="0.25">
      <c r="B15" s="99"/>
      <c r="C15" s="100"/>
      <c r="D15" s="104"/>
    </row>
    <row r="16" spans="2:6" s="87" customFormat="1" x14ac:dyDescent="0.25">
      <c r="B16" s="99" t="s">
        <v>67</v>
      </c>
      <c r="C16" s="100" t="s">
        <v>68</v>
      </c>
      <c r="D16" s="101">
        <v>9.7000000000000003E-3</v>
      </c>
      <c r="E16" s="87" t="s">
        <v>88</v>
      </c>
      <c r="F16" s="102" t="s">
        <v>287</v>
      </c>
    </row>
    <row r="17" spans="2:6" s="87" customFormat="1" x14ac:dyDescent="0.25">
      <c r="B17" s="99"/>
      <c r="C17" s="100"/>
      <c r="D17" s="104"/>
    </row>
    <row r="18" spans="2:6" s="87" customFormat="1" x14ac:dyDescent="0.25">
      <c r="B18" s="105" t="s">
        <v>92</v>
      </c>
      <c r="C18" s="106" t="s">
        <v>93</v>
      </c>
      <c r="D18" s="107">
        <v>8.0000000000000002E-3</v>
      </c>
      <c r="E18" s="87" t="s">
        <v>89</v>
      </c>
      <c r="F18" s="108" t="s">
        <v>288</v>
      </c>
    </row>
    <row r="19" spans="2:6" s="87" customFormat="1" x14ac:dyDescent="0.25">
      <c r="B19" s="99"/>
      <c r="C19" s="100"/>
      <c r="D19" s="109"/>
    </row>
    <row r="20" spans="2:6" s="87" customFormat="1" x14ac:dyDescent="0.25">
      <c r="B20" s="99" t="s">
        <v>69</v>
      </c>
      <c r="C20" s="100" t="s">
        <v>69</v>
      </c>
      <c r="D20" s="109">
        <v>0.03</v>
      </c>
    </row>
    <row r="21" spans="2:6" s="87" customFormat="1" x14ac:dyDescent="0.25">
      <c r="B21" s="99" t="s">
        <v>70</v>
      </c>
      <c r="C21" s="100" t="s">
        <v>71</v>
      </c>
      <c r="D21" s="109">
        <v>0.02</v>
      </c>
      <c r="E21" s="110">
        <f>0.05*0.4</f>
        <v>2.0000000000000004E-2</v>
      </c>
    </row>
    <row r="22" spans="2:6" s="87" customFormat="1" x14ac:dyDescent="0.25">
      <c r="B22" s="99" t="s">
        <v>72</v>
      </c>
      <c r="C22" s="100" t="s">
        <v>72</v>
      </c>
      <c r="D22" s="109">
        <v>6.4999999999999997E-3</v>
      </c>
    </row>
    <row r="23" spans="2:6" s="87" customFormat="1" hidden="1" x14ac:dyDescent="0.25">
      <c r="B23" s="99" t="s">
        <v>73</v>
      </c>
      <c r="C23" s="100" t="s">
        <v>74</v>
      </c>
      <c r="D23" s="109"/>
      <c r="E23" s="87" t="s">
        <v>75</v>
      </c>
    </row>
    <row r="24" spans="2:6" s="87" customFormat="1" x14ac:dyDescent="0.25">
      <c r="B24" s="99" t="s">
        <v>86</v>
      </c>
      <c r="C24" s="100" t="s">
        <v>76</v>
      </c>
      <c r="D24" s="101">
        <f>SUM(D20:D23)</f>
        <v>5.6500000000000002E-2</v>
      </c>
    </row>
    <row r="25" spans="2:6" s="87" customFormat="1" x14ac:dyDescent="0.25">
      <c r="B25" s="99"/>
      <c r="C25" s="100"/>
      <c r="D25" s="109"/>
    </row>
    <row r="26" spans="2:6" s="87" customFormat="1" x14ac:dyDescent="0.25">
      <c r="B26" s="99" t="s">
        <v>77</v>
      </c>
      <c r="C26" s="100" t="s">
        <v>78</v>
      </c>
      <c r="D26" s="101">
        <v>6.1800000000000001E-2</v>
      </c>
      <c r="E26" s="87" t="s">
        <v>90</v>
      </c>
      <c r="F26" s="102" t="s">
        <v>289</v>
      </c>
    </row>
    <row r="27" spans="2:6" s="87" customFormat="1" x14ac:dyDescent="0.25">
      <c r="B27" s="97"/>
      <c r="C27" s="98"/>
      <c r="D27" s="111"/>
    </row>
    <row r="28" spans="2:6" s="87" customFormat="1" x14ac:dyDescent="0.25">
      <c r="B28" s="112" t="s">
        <v>79</v>
      </c>
      <c r="C28" s="113"/>
      <c r="D28" s="101">
        <f>ROUND((((1+D12+D18+D16)*(1+D14)*(1+D26))/(1-D24))-1,4)</f>
        <v>0.20499999999999999</v>
      </c>
      <c r="E28" s="114" t="s">
        <v>91</v>
      </c>
    </row>
    <row r="29" spans="2:6" s="87" customFormat="1" ht="12.75" x14ac:dyDescent="0.2">
      <c r="C29" s="88"/>
      <c r="D29" s="115"/>
      <c r="F29" s="102" t="s">
        <v>290</v>
      </c>
    </row>
    <row r="30" spans="2:6" s="87" customFormat="1" ht="12.75" x14ac:dyDescent="0.2">
      <c r="C30" s="88"/>
      <c r="D30" s="88"/>
    </row>
    <row r="31" spans="2:6" s="87" customFormat="1" ht="12.75" x14ac:dyDescent="0.2">
      <c r="C31" s="88"/>
      <c r="D31" s="88"/>
    </row>
    <row r="32" spans="2:6" s="87" customFormat="1" ht="15.75" x14ac:dyDescent="0.25">
      <c r="B32" s="116" t="s">
        <v>80</v>
      </c>
      <c r="C32" s="88"/>
      <c r="D32" s="88"/>
    </row>
    <row r="33" spans="2:6" x14ac:dyDescent="0.25">
      <c r="B33" s="117"/>
      <c r="C33" s="118"/>
      <c r="D33" s="119"/>
    </row>
    <row r="34" spans="2:6" x14ac:dyDescent="0.25">
      <c r="B34" s="120"/>
      <c r="D34" s="122"/>
    </row>
    <row r="35" spans="2:6" x14ac:dyDescent="0.25">
      <c r="B35" s="120"/>
      <c r="D35" s="122"/>
    </row>
    <row r="36" spans="2:6" x14ac:dyDescent="0.25">
      <c r="B36" s="120"/>
      <c r="D36" s="122"/>
    </row>
    <row r="37" spans="2:6" s="126" customFormat="1" x14ac:dyDescent="0.25">
      <c r="B37" s="123"/>
      <c r="C37" s="124"/>
      <c r="D37" s="125"/>
    </row>
    <row r="38" spans="2:6" s="126" customFormat="1" x14ac:dyDescent="0.25">
      <c r="B38" s="127"/>
      <c r="C38" s="128"/>
      <c r="D38" s="129"/>
    </row>
    <row r="39" spans="2:6" s="126" customFormat="1" x14ac:dyDescent="0.25">
      <c r="B39" s="130"/>
      <c r="C39" s="131"/>
      <c r="D39" s="131"/>
    </row>
    <row r="40" spans="2:6" s="126" customFormat="1" x14ac:dyDescent="0.25">
      <c r="B40" s="130" t="s">
        <v>81</v>
      </c>
      <c r="C40" s="131"/>
      <c r="D40" s="131"/>
    </row>
    <row r="41" spans="2:6" s="132" customFormat="1" x14ac:dyDescent="0.25">
      <c r="B41" s="386" t="s">
        <v>82</v>
      </c>
      <c r="C41" s="386"/>
      <c r="D41" s="386"/>
    </row>
    <row r="42" spans="2:6" s="132" customFormat="1" ht="66" customHeight="1" x14ac:dyDescent="0.25">
      <c r="B42" s="386" t="s">
        <v>205</v>
      </c>
      <c r="C42" s="386"/>
      <c r="D42" s="386"/>
    </row>
    <row r="43" spans="2:6" s="126" customFormat="1" ht="98.25" hidden="1" customHeight="1" x14ac:dyDescent="0.25">
      <c r="B43" s="387" t="s">
        <v>291</v>
      </c>
      <c r="C43" s="387"/>
      <c r="D43" s="387"/>
      <c r="F43" s="133" t="s">
        <v>83</v>
      </c>
    </row>
    <row r="46" spans="2:6" x14ac:dyDescent="0.25">
      <c r="B46" t="s">
        <v>84</v>
      </c>
    </row>
    <row r="47" spans="2:6" ht="135" customHeight="1" x14ac:dyDescent="0.25">
      <c r="B47" s="388" t="s">
        <v>292</v>
      </c>
      <c r="C47" s="389"/>
      <c r="D47" s="390"/>
    </row>
    <row r="59" spans="2:4" s="87" customFormat="1" ht="12.75" x14ac:dyDescent="0.2">
      <c r="C59" s="88"/>
      <c r="D59" s="88"/>
    </row>
    <row r="60" spans="2:4" s="87" customFormat="1" ht="12.75" x14ac:dyDescent="0.2">
      <c r="C60" s="88"/>
      <c r="D60" s="88"/>
    </row>
    <row r="61" spans="2:4" x14ac:dyDescent="0.25">
      <c r="B61" t="s">
        <v>85</v>
      </c>
    </row>
  </sheetData>
  <mergeCells count="9">
    <mergeCell ref="B41:D41"/>
    <mergeCell ref="B42:D42"/>
    <mergeCell ref="B43:D43"/>
    <mergeCell ref="B47:D47"/>
    <mergeCell ref="B2:D2"/>
    <mergeCell ref="B4:D4"/>
    <mergeCell ref="B6:D6"/>
    <mergeCell ref="B7:D7"/>
    <mergeCell ref="B8:D8"/>
  </mergeCells>
  <printOptions horizontalCentered="1"/>
  <pageMargins left="0.59055118110236227" right="0.59055118110236227" top="1.3779527559055118" bottom="0.78740157480314965" header="0.39370078740157483" footer="0.39370078740157483"/>
  <pageSetup paperSize="9" scale="88" orientation="portrait" horizontalDpi="300" verticalDpi="300" r:id="rId1"/>
  <headerFooter>
    <oddHeader>&amp;L&amp;G&amp;R&amp;G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3313" r:id="rId5">
          <objectPr defaultSize="0" autoPict="0" r:id="rId6">
            <anchor moveWithCells="1" sizeWithCells="1">
              <from>
                <xdr:col>1</xdr:col>
                <xdr:colOff>19050</xdr:colOff>
                <xdr:row>32</xdr:row>
                <xdr:rowOff>152400</xdr:rowOff>
              </from>
              <to>
                <xdr:col>1</xdr:col>
                <xdr:colOff>4648200</xdr:colOff>
                <xdr:row>36</xdr:row>
                <xdr:rowOff>161925</xdr:rowOff>
              </to>
            </anchor>
          </objectPr>
        </oleObject>
      </mc:Choice>
      <mc:Fallback>
        <oleObject progId="Equation.3" shapeId="1331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Orçamento</vt:lpstr>
      <vt:lpstr>MC</vt:lpstr>
      <vt:lpstr>COMPOSIÇÕES</vt:lpstr>
      <vt:lpstr>CRONOGRAMA</vt:lpstr>
      <vt:lpstr>Composição de encargos</vt:lpstr>
      <vt:lpstr>COMP_BDI_EDIFICACOES</vt:lpstr>
      <vt:lpstr>COMP_BDI_EDIFICACOES!Area_de_impressao</vt:lpstr>
      <vt:lpstr>COMPOSIÇÕES!Area_de_impressao</vt:lpstr>
      <vt:lpstr>CRONOGRAMA!Area_de_impressao</vt:lpstr>
      <vt:lpstr>MC!Area_de_impressao</vt:lpstr>
      <vt:lpstr>Orçamento!Area_de_impressao</vt:lpstr>
      <vt:lpstr>BDI_EDIF_com_Desoneracao</vt:lpstr>
      <vt:lpstr>COMPOSIÇÕES!Titulos_de_impressao</vt:lpstr>
      <vt:lpstr>CRONOGRAMA!Titulos_de_impressao</vt:lpstr>
      <vt:lpstr>MC!Titulos_de_impressao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2024-10-22T15:27:43Z</dcterms:modified>
</cp:coreProperties>
</file>